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"/>
    </mc:Choice>
  </mc:AlternateContent>
  <bookViews>
    <workbookView xWindow="0" yWindow="0" windowWidth="21945" windowHeight="9645"/>
  </bookViews>
  <sheets>
    <sheet name="Budsjett" sheetId="7" r:id="rId1"/>
    <sheet name="Noter" sheetId="6" r:id="rId2"/>
    <sheet name="Regnskap" sheetId="5" r:id="rId3"/>
    <sheet name="Bilag" sheetId="4" r:id="rId4"/>
  </sheets>
  <definedNames>
    <definedName name="_xlnm.Print_Area" localSheetId="2">Regnskap!$A$1:$H$43</definedName>
  </definedNames>
  <calcPr calcId="171027"/>
</workbook>
</file>

<file path=xl/calcChain.xml><?xml version="1.0" encoding="utf-8"?>
<calcChain xmlns="http://schemas.openxmlformats.org/spreadsheetml/2006/main">
  <c r="E15" i="7" l="1"/>
  <c r="C43" i="6"/>
  <c r="C7" i="6"/>
  <c r="C27" i="6" l="1"/>
  <c r="C29" i="6" s="1"/>
  <c r="E14" i="7" s="1"/>
  <c r="E16" i="7"/>
  <c r="C9" i="6"/>
  <c r="E5" i="7" s="1"/>
  <c r="C21" i="6"/>
  <c r="E13" i="7" s="1"/>
  <c r="E8" i="7"/>
  <c r="C38" i="6"/>
  <c r="C34" i="6"/>
  <c r="C17" i="6"/>
  <c r="E6" i="7" s="1"/>
  <c r="E10" i="7" l="1"/>
  <c r="G42" i="6"/>
  <c r="G15" i="7" s="1"/>
  <c r="D52" i="4"/>
  <c r="C52" i="4"/>
  <c r="A52" i="4"/>
  <c r="B52" i="4"/>
  <c r="D68" i="4"/>
  <c r="D69" i="4"/>
  <c r="C69" i="4"/>
  <c r="C68" i="4"/>
  <c r="A68" i="4"/>
  <c r="A69" i="4"/>
  <c r="B69" i="4"/>
  <c r="B68" i="4"/>
  <c r="D51" i="4" l="1"/>
  <c r="C51" i="4"/>
  <c r="C53" i="4" s="1"/>
  <c r="B51" i="4"/>
  <c r="A51" i="4"/>
  <c r="D48" i="4"/>
  <c r="C48" i="4"/>
  <c r="A48" i="4"/>
  <c r="B48" i="4"/>
  <c r="A47" i="4"/>
  <c r="B47" i="4"/>
  <c r="C47" i="4"/>
  <c r="D47" i="4"/>
  <c r="A46" i="4"/>
  <c r="D46" i="4"/>
  <c r="C46" i="4"/>
  <c r="E32" i="6" s="1"/>
  <c r="B46" i="4"/>
  <c r="D67" i="4"/>
  <c r="C67" i="4"/>
  <c r="B67" i="4"/>
  <c r="A67" i="4"/>
  <c r="D66" i="4"/>
  <c r="C66" i="4"/>
  <c r="B66" i="4"/>
  <c r="A66" i="4"/>
  <c r="D65" i="4"/>
  <c r="C65" i="4"/>
  <c r="B65" i="4"/>
  <c r="A65" i="4"/>
  <c r="G10" i="5"/>
  <c r="C49" i="4" l="1"/>
  <c r="E33" i="6"/>
  <c r="E25" i="6"/>
  <c r="E28" i="6"/>
  <c r="A8" i="4" l="1"/>
  <c r="B8" i="4"/>
  <c r="C8" i="4"/>
  <c r="D8" i="4"/>
  <c r="A9" i="4"/>
  <c r="B9" i="4"/>
  <c r="C9" i="4"/>
  <c r="D9" i="4"/>
  <c r="A10" i="4"/>
  <c r="B10" i="4"/>
  <c r="C10" i="4"/>
  <c r="D10" i="4"/>
  <c r="D7" i="4"/>
  <c r="C7" i="4"/>
  <c r="B7" i="4"/>
  <c r="A7" i="4"/>
  <c r="A6" i="4"/>
  <c r="B6" i="4"/>
  <c r="C6" i="4"/>
  <c r="D6" i="4"/>
  <c r="D5" i="4"/>
  <c r="C5" i="4"/>
  <c r="B5" i="4"/>
  <c r="A5" i="4"/>
  <c r="A17" i="4"/>
  <c r="B17" i="4"/>
  <c r="C17" i="4"/>
  <c r="D17" i="4"/>
  <c r="A18" i="4"/>
  <c r="B18" i="4"/>
  <c r="C18" i="4"/>
  <c r="D18" i="4"/>
  <c r="D16" i="4"/>
  <c r="C16" i="4"/>
  <c r="B16" i="4"/>
  <c r="A16" i="4"/>
  <c r="D15" i="4"/>
  <c r="C15" i="4"/>
  <c r="B15" i="4"/>
  <c r="A15" i="4"/>
  <c r="D14" i="4"/>
  <c r="C14" i="4"/>
  <c r="B14" i="4"/>
  <c r="A14" i="4"/>
  <c r="D41" i="4"/>
  <c r="C41" i="4"/>
  <c r="E27" i="6" s="1"/>
  <c r="B41" i="4"/>
  <c r="A41" i="4"/>
  <c r="D40" i="4"/>
  <c r="C40" i="4"/>
  <c r="E26" i="6" s="1"/>
  <c r="B40" i="4"/>
  <c r="A40" i="4"/>
  <c r="D35" i="4"/>
  <c r="C35" i="4"/>
  <c r="E24" i="6" s="1"/>
  <c r="F7" i="7" s="1"/>
  <c r="B35" i="4"/>
  <c r="A35" i="4"/>
  <c r="D64" i="4"/>
  <c r="C64" i="4"/>
  <c r="B64" i="4"/>
  <c r="A64" i="4"/>
  <c r="D63" i="4"/>
  <c r="C63" i="4"/>
  <c r="B63" i="4"/>
  <c r="A63" i="4"/>
  <c r="D55" i="4"/>
  <c r="C55" i="4"/>
  <c r="B55" i="4"/>
  <c r="A55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C70" i="4" s="1"/>
  <c r="B58" i="4"/>
  <c r="A58" i="4"/>
  <c r="E87" i="4"/>
  <c r="E89" i="4" s="1"/>
  <c r="F14" i="7" l="1"/>
  <c r="E7" i="6"/>
  <c r="E8" i="6"/>
  <c r="E6" i="6"/>
  <c r="E7" i="5"/>
  <c r="E5" i="6"/>
  <c r="C11" i="4"/>
  <c r="E14" i="5"/>
  <c r="E42" i="6"/>
  <c r="G20" i="6" l="1"/>
  <c r="G27" i="6"/>
  <c r="G8" i="7"/>
  <c r="G38" i="6"/>
  <c r="G9" i="7" s="1"/>
  <c r="A26" i="6" l="1"/>
  <c r="A28" i="6"/>
  <c r="A25" i="6"/>
  <c r="A38" i="6"/>
  <c r="A43" i="6"/>
  <c r="A42" i="6"/>
  <c r="A41" i="6"/>
  <c r="A34" i="6"/>
  <c r="A20" i="6"/>
  <c r="E20" i="6"/>
  <c r="A17" i="6"/>
  <c r="A9" i="6"/>
  <c r="C43" i="4"/>
  <c r="A29" i="6"/>
  <c r="A21" i="6"/>
  <c r="C56" i="4"/>
  <c r="E41" i="6" s="1"/>
  <c r="C24" i="4" l="1"/>
  <c r="E15" i="5"/>
  <c r="E43" i="6"/>
  <c r="E29" i="6"/>
  <c r="C28" i="4"/>
  <c r="E92" i="4"/>
  <c r="C36" i="4"/>
  <c r="C44" i="4" s="1"/>
  <c r="G7" i="7"/>
  <c r="G29" i="6"/>
  <c r="G14" i="7" s="1"/>
  <c r="G43" i="6"/>
  <c r="G34" i="6"/>
  <c r="G16" i="7" s="1"/>
  <c r="E34" i="6"/>
  <c r="E21" i="6"/>
  <c r="G21" i="6"/>
  <c r="G13" i="7" s="1"/>
  <c r="G17" i="6"/>
  <c r="G6" i="7" s="1"/>
  <c r="G9" i="6"/>
  <c r="G5" i="7" s="1"/>
  <c r="E16" i="5" l="1"/>
  <c r="E17" i="7"/>
  <c r="E19" i="7" s="1"/>
  <c r="F13" i="7"/>
  <c r="E13" i="5"/>
  <c r="F16" i="7"/>
  <c r="E8" i="5"/>
  <c r="F8" i="7"/>
  <c r="F15" i="7"/>
  <c r="E17" i="6"/>
  <c r="E6" i="5" s="1"/>
  <c r="C71" i="4"/>
  <c r="G10" i="7"/>
  <c r="G17" i="7"/>
  <c r="C29" i="4"/>
  <c r="F17" i="7" l="1"/>
  <c r="G19" i="7"/>
  <c r="G24" i="7" s="1"/>
  <c r="G26" i="7" s="1"/>
  <c r="G28" i="7" s="1"/>
  <c r="G30" i="7" s="1"/>
  <c r="F6" i="7"/>
  <c r="G26" i="5"/>
  <c r="C32" i="4" l="1"/>
  <c r="C19" i="4"/>
  <c r="E9" i="6"/>
  <c r="E5" i="5" l="1"/>
  <c r="F5" i="7"/>
  <c r="C20" i="4"/>
  <c r="E37" i="6"/>
  <c r="E38" i="6" s="1"/>
  <c r="F9" i="7" l="1"/>
  <c r="F10" i="7" s="1"/>
  <c r="F19" i="7" s="1"/>
  <c r="F24" i="7" s="1"/>
  <c r="E9" i="5"/>
  <c r="E10" i="5" s="1"/>
  <c r="H15" i="5"/>
  <c r="G30" i="5"/>
  <c r="F26" i="7" l="1"/>
  <c r="F28" i="7" s="1"/>
  <c r="F30" i="7" s="1"/>
  <c r="E24" i="7"/>
  <c r="E26" i="7" s="1"/>
  <c r="E28" i="7" s="1"/>
  <c r="E30" i="7" s="1"/>
  <c r="E103" i="4"/>
  <c r="E108" i="4" s="1"/>
  <c r="H29" i="5"/>
  <c r="H25" i="5"/>
  <c r="G17" i="5"/>
  <c r="E110" i="4" l="1"/>
  <c r="E112" i="4" s="1"/>
  <c r="E116" i="4" s="1"/>
  <c r="E119" i="4" s="1"/>
  <c r="G19" i="5"/>
  <c r="E32" i="5" l="1"/>
  <c r="H13" i="5"/>
  <c r="E122" i="4" l="1"/>
  <c r="E124" i="4" s="1"/>
  <c r="E127" i="4" s="1"/>
  <c r="E17" i="5"/>
  <c r="H7" i="5"/>
  <c r="H14" i="5" l="1"/>
  <c r="H16" i="5" l="1"/>
  <c r="H17" i="5"/>
  <c r="H5" i="5" l="1"/>
  <c r="H6" i="5"/>
  <c r="E19" i="5" l="1"/>
  <c r="H10" i="5"/>
  <c r="H19" i="5" l="1"/>
  <c r="E24" i="5"/>
  <c r="H24" i="5" l="1"/>
  <c r="E26" i="5"/>
  <c r="E28" i="5" l="1"/>
  <c r="H28" i="5" s="1"/>
  <c r="H26" i="5"/>
  <c r="E30" i="5" l="1"/>
  <c r="E33" i="5" l="1"/>
  <c r="H30" i="5"/>
</calcChain>
</file>

<file path=xl/sharedStrings.xml><?xml version="1.0" encoding="utf-8"?>
<sst xmlns="http://schemas.openxmlformats.org/spreadsheetml/2006/main" count="228" uniqueCount="163">
  <si>
    <t>Inntekter</t>
  </si>
  <si>
    <t>Dato</t>
  </si>
  <si>
    <t>Kostnader</t>
  </si>
  <si>
    <t>Bilag</t>
  </si>
  <si>
    <t xml:space="preserve">Bank utskrift </t>
  </si>
  <si>
    <t>Sum inntekter</t>
  </si>
  <si>
    <t>Sum kostnader</t>
  </si>
  <si>
    <t>Bank avstemming</t>
  </si>
  <si>
    <t>Faktisk</t>
  </si>
  <si>
    <t xml:space="preserve"> </t>
  </si>
  <si>
    <t>Note</t>
  </si>
  <si>
    <t>Tilbakebetaling fra 10. trinn (Hvite busser)</t>
  </si>
  <si>
    <t>Andre driftskostnader</t>
  </si>
  <si>
    <t xml:space="preserve">Overskudd (underskudd) </t>
  </si>
  <si>
    <t>BALANSE</t>
  </si>
  <si>
    <t>Kontanter</t>
  </si>
  <si>
    <t>Sum eiendeler</t>
  </si>
  <si>
    <t>Egenkapital</t>
  </si>
  <si>
    <t>Gjeld til Bøler skole og andre</t>
  </si>
  <si>
    <t>Sum gjeld og egenkapital</t>
  </si>
  <si>
    <t>I fjor</t>
  </si>
  <si>
    <t>Diff</t>
  </si>
  <si>
    <t>Kasserer</t>
  </si>
  <si>
    <t>Dato /sted</t>
  </si>
  <si>
    <t>Endring vs</t>
  </si>
  <si>
    <t>1.8.2014 -</t>
  </si>
  <si>
    <t>Overskudd av tilskudd til Hvite Busser</t>
  </si>
  <si>
    <t>Gebyr/renter</t>
  </si>
  <si>
    <t xml:space="preserve">Overskudd fra 17. mai </t>
  </si>
  <si>
    <t>Avstemming bankkonto</t>
  </si>
  <si>
    <t>31.8.2015</t>
  </si>
  <si>
    <t>1.9.2015 -</t>
  </si>
  <si>
    <t>31.7.2016</t>
  </si>
  <si>
    <t>31.07.2016</t>
  </si>
  <si>
    <t>31.08.2015</t>
  </si>
  <si>
    <t>Stian Kristoffersen</t>
  </si>
  <si>
    <t>Overskudd fra KULuka</t>
  </si>
  <si>
    <t>Andre driftsinntekter</t>
  </si>
  <si>
    <t>Refleksaksjonen (overført til skolen)</t>
  </si>
  <si>
    <t xml:space="preserve">Tilskudd turer </t>
  </si>
  <si>
    <t>Kostnader bank</t>
  </si>
  <si>
    <t>Bank</t>
  </si>
  <si>
    <t>Varekjøp Mega</t>
  </si>
  <si>
    <t>FAKTISK</t>
  </si>
  <si>
    <t>BUDSJETT</t>
  </si>
  <si>
    <t>Note 2</t>
  </si>
  <si>
    <t>Overskudd 17. mai</t>
  </si>
  <si>
    <t>Note 3</t>
  </si>
  <si>
    <t>Note 4</t>
  </si>
  <si>
    <t>Bondegårdstur barnetrinnet (3 klasse)</t>
  </si>
  <si>
    <t>Tur for M-klassen</t>
  </si>
  <si>
    <t>Note 5</t>
  </si>
  <si>
    <t>Note 6</t>
  </si>
  <si>
    <t>Tilskudd turer</t>
  </si>
  <si>
    <t>Inntekter bank</t>
  </si>
  <si>
    <t>Note 7</t>
  </si>
  <si>
    <t>FAU BØLER SKOLE</t>
  </si>
  <si>
    <t>Faktisk 2015-16</t>
  </si>
  <si>
    <t>Faktisk 2014-15</t>
  </si>
  <si>
    <t>Overskudd KULuka</t>
  </si>
  <si>
    <t>Inntekter KULuka</t>
  </si>
  <si>
    <t>Kostnader KULuka</t>
  </si>
  <si>
    <t>Inntekter 17. mai</t>
  </si>
  <si>
    <t>Kostnader 17. mai</t>
  </si>
  <si>
    <t>Refleksaksjonen</t>
  </si>
  <si>
    <t>Sum tilskudd</t>
  </si>
  <si>
    <t>Sum tilbakebetaling fra 10. trinn (Hvite busser)</t>
  </si>
  <si>
    <t>Noter for regnskapsåret 2016/2017</t>
  </si>
  <si>
    <t>Regnskapsåret er fra 01.08.2016-31.07.2017</t>
  </si>
  <si>
    <t>Regnskap 2016-2017</t>
  </si>
  <si>
    <t>1.8.2016 -</t>
  </si>
  <si>
    <t>31.7.2017</t>
  </si>
  <si>
    <t>31.07.2017</t>
  </si>
  <si>
    <t xml:space="preserve">Saldo pr 31.07.2016 i flg regnskap </t>
  </si>
  <si>
    <t>Faktisk 2016-17</t>
  </si>
  <si>
    <t>Budsjett  2016-17</t>
  </si>
  <si>
    <t xml:space="preserve">Budsjett 2015-16 </t>
  </si>
  <si>
    <t>Innkjøp utstyr etter søknader</t>
  </si>
  <si>
    <t>Saldo pr 31.08.2016</t>
  </si>
  <si>
    <t>Saldo pr 30.09.2016</t>
  </si>
  <si>
    <t>Saldo pr 31.10.2016</t>
  </si>
  <si>
    <t>Saldo pr 30.11.2016</t>
  </si>
  <si>
    <t>Saldo pr 31.12.2016</t>
  </si>
  <si>
    <t>Saldo pr 28.02.2017</t>
  </si>
  <si>
    <t>Saldo pr 31.03.2017</t>
  </si>
  <si>
    <t>Saldo pr 30.04.2017</t>
  </si>
  <si>
    <t>Saldo pr 31.05.2017</t>
  </si>
  <si>
    <t>Saldo pr 30.06.2017</t>
  </si>
  <si>
    <t>Saldo pr 31.07.2017</t>
  </si>
  <si>
    <t>Konto</t>
  </si>
  <si>
    <t>Kontonavn</t>
  </si>
  <si>
    <t>1503.71.24785</t>
  </si>
  <si>
    <t>Renter</t>
  </si>
  <si>
    <t>DNB Connect</t>
  </si>
  <si>
    <t>Popcorn Compagniet</t>
  </si>
  <si>
    <t>Utlegg, Merethe Bryn</t>
  </si>
  <si>
    <t>Ine Martinsen</t>
  </si>
  <si>
    <t>Tilskudd til Hvite Busser, Hege Anita Evensen</t>
  </si>
  <si>
    <t>Tilskudd for Prøysentur, Bøler Skole</t>
  </si>
  <si>
    <t>Veksel til KULuka, Stian Kristoffersen</t>
  </si>
  <si>
    <t>Vipps, KULuka</t>
  </si>
  <si>
    <t>Kontantinnskudd KULuka, Stian Kristoffersen</t>
  </si>
  <si>
    <t>Pant, Ronny Solbakken</t>
  </si>
  <si>
    <t>Saldo pr 31.01.2017</t>
  </si>
  <si>
    <t>Tilbakebetaling Hvite Busser, Hege Anita Evensen</t>
  </si>
  <si>
    <t>Mat KULuka, Coop Øst</t>
  </si>
  <si>
    <t>Bilag 1</t>
  </si>
  <si>
    <t>Bilag 2</t>
  </si>
  <si>
    <t>Bilag 5</t>
  </si>
  <si>
    <t>Bilag 4</t>
  </si>
  <si>
    <t>Bilag 3</t>
  </si>
  <si>
    <t>Bilag 6</t>
  </si>
  <si>
    <t>Bilag 7</t>
  </si>
  <si>
    <t>Bilag 8</t>
  </si>
  <si>
    <t>Bilag 9</t>
  </si>
  <si>
    <t>Bilag 10</t>
  </si>
  <si>
    <t>Bilag 11</t>
  </si>
  <si>
    <t>Bilag 12</t>
  </si>
  <si>
    <t>Bilag 13</t>
  </si>
  <si>
    <t>Bilag 14</t>
  </si>
  <si>
    <t>Bilag 15</t>
  </si>
  <si>
    <t>Bilag 16</t>
  </si>
  <si>
    <t>Bilag 17</t>
  </si>
  <si>
    <t>Bilag 18</t>
  </si>
  <si>
    <t>Bilag 19</t>
  </si>
  <si>
    <t>Bilag 20</t>
  </si>
  <si>
    <t>Bilag 21</t>
  </si>
  <si>
    <t>Bilag 22</t>
  </si>
  <si>
    <t>Overskudd fra 17. mai (partallsår)</t>
  </si>
  <si>
    <t>Endring vs 2016/2017</t>
  </si>
  <si>
    <t>2016/2017</t>
  </si>
  <si>
    <t>Popcorn/div</t>
  </si>
  <si>
    <t>Inntekter kontant</t>
  </si>
  <si>
    <t>Inntekter Vipps</t>
  </si>
  <si>
    <t>Bilag 23</t>
  </si>
  <si>
    <t>Utlegg Foreldreforedrag, Ine Martinsen</t>
  </si>
  <si>
    <t>Bilag 24</t>
  </si>
  <si>
    <t>Bilag 26</t>
  </si>
  <si>
    <t>Foreldreforedrag, Kristin Oudmayer</t>
  </si>
  <si>
    <t>Bilag 25</t>
  </si>
  <si>
    <t>Hoppetau, Gm Sport AS</t>
  </si>
  <si>
    <t>Bilag 28</t>
  </si>
  <si>
    <t>Bilag 27</t>
  </si>
  <si>
    <t>Tilskudd til utegruppa fra Bøler Basket</t>
  </si>
  <si>
    <t>Bilag 29</t>
  </si>
  <si>
    <t>Arrangement / Antimobbe dag / Foreldreforedrag</t>
  </si>
  <si>
    <t>Tilskudd til utegruppen fra Bøler Bakset</t>
  </si>
  <si>
    <t>Bilag 30</t>
  </si>
  <si>
    <t>Bilag 31</t>
  </si>
  <si>
    <t>Overført fra avsluttet kontonr. 1208.34.55819 Hege Anita Evensen</t>
  </si>
  <si>
    <t>Bilag 32</t>
  </si>
  <si>
    <t>Styreleder</t>
  </si>
  <si>
    <t>31.07.2018</t>
  </si>
  <si>
    <t>BUDSJETT FORSLAG</t>
  </si>
  <si>
    <t>Inntekter av salg av kaker/mat og drikke og aktivteter</t>
  </si>
  <si>
    <t>Salg av annonser program</t>
  </si>
  <si>
    <t>Innkjøp av mat/drikke inkl popcorn</t>
  </si>
  <si>
    <t>Trykking av program</t>
  </si>
  <si>
    <t>Øvrige kostnader (aktiviteter/pynt  og evt ballonger)</t>
  </si>
  <si>
    <t>1.8.2017 -</t>
  </si>
  <si>
    <t>31.7.2018</t>
  </si>
  <si>
    <t>Budsjett 2017-18</t>
  </si>
  <si>
    <t>Tilskudd Hvite Busser - 500 kr pr elev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</si>
</sst>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color indexed="64"/>
      <name val="Verdana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5" fontId="0" fillId="0" borderId="0" xfId="1" applyNumberFormat="1" applyFont="1"/>
    <xf numFmtId="0" fontId="0" fillId="2" borderId="0" xfId="0" applyFill="1"/>
    <xf numFmtId="164" fontId="2" fillId="0" borderId="0" xfId="1" applyNumberFormat="1" applyFont="1"/>
    <xf numFmtId="164" fontId="0" fillId="0" borderId="0" xfId="1" applyNumberFormat="1" applyFont="1"/>
    <xf numFmtId="14" fontId="0" fillId="0" borderId="0" xfId="0" applyNumberFormat="1"/>
    <xf numFmtId="14" fontId="2" fillId="0" borderId="0" xfId="0" applyNumberFormat="1" applyFont="1"/>
    <xf numFmtId="165" fontId="2" fillId="0" borderId="0" xfId="1" applyNumberFormat="1" applyFont="1"/>
    <xf numFmtId="164" fontId="5" fillId="0" borderId="0" xfId="1" applyNumberFormat="1" applyFont="1"/>
    <xf numFmtId="164" fontId="0" fillId="0" borderId="0" xfId="1" applyNumberFormat="1" applyFont="1" applyFill="1"/>
    <xf numFmtId="165" fontId="0" fillId="0" borderId="0" xfId="0" applyNumberFormat="1"/>
    <xf numFmtId="164" fontId="3" fillId="2" borderId="0" xfId="1" applyNumberFormat="1" applyFont="1" applyFill="1"/>
    <xf numFmtId="0" fontId="0" fillId="3" borderId="0" xfId="0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3" borderId="0" xfId="0" applyFont="1" applyFill="1"/>
    <xf numFmtId="4" fontId="0" fillId="0" borderId="0" xfId="0" applyNumberFormat="1"/>
    <xf numFmtId="0" fontId="0" fillId="3" borderId="1" xfId="0" applyFill="1" applyBorder="1"/>
    <xf numFmtId="3" fontId="6" fillId="3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7" fillId="0" borderId="0" xfId="0" applyNumberFormat="1" applyFont="1" applyBorder="1"/>
    <xf numFmtId="165" fontId="6" fillId="3" borderId="0" xfId="1" applyNumberFormat="1" applyFont="1" applyFill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3" borderId="0" xfId="0" applyFont="1" applyFill="1"/>
    <xf numFmtId="0" fontId="0" fillId="3" borderId="1" xfId="0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0" fillId="0" borderId="0" xfId="0" applyFill="1"/>
    <xf numFmtId="165" fontId="5" fillId="4" borderId="0" xfId="1" applyNumberFormat="1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/>
    <xf numFmtId="14" fontId="5" fillId="0" borderId="0" xfId="0" applyNumberFormat="1" applyFont="1"/>
    <xf numFmtId="0" fontId="0" fillId="2" borderId="3" xfId="0" applyFill="1" applyBorder="1"/>
    <xf numFmtId="164" fontId="2" fillId="2" borderId="3" xfId="1" applyNumberFormat="1" applyFont="1" applyFill="1" applyBorder="1"/>
    <xf numFmtId="14" fontId="5" fillId="0" borderId="0" xfId="0" applyNumberFormat="1" applyFont="1" applyFill="1"/>
    <xf numFmtId="164" fontId="5" fillId="0" borderId="0" xfId="1" applyNumberFormat="1" applyFont="1" applyFill="1"/>
    <xf numFmtId="164" fontId="0" fillId="0" borderId="0" xfId="0" applyNumberFormat="1"/>
    <xf numFmtId="165" fontId="5" fillId="4" borderId="1" xfId="1" applyNumberFormat="1" applyFont="1" applyFill="1" applyBorder="1" applyAlignment="1">
      <alignment horizontal="left"/>
    </xf>
    <xf numFmtId="165" fontId="2" fillId="0" borderId="1" xfId="1" applyNumberFormat="1" applyFont="1" applyBorder="1"/>
    <xf numFmtId="0" fontId="2" fillId="0" borderId="1" xfId="0" applyFont="1" applyBorder="1"/>
    <xf numFmtId="165" fontId="11" fillId="0" borderId="1" xfId="1" applyNumberFormat="1" applyFont="1" applyBorder="1"/>
    <xf numFmtId="0" fontId="0" fillId="0" borderId="1" xfId="0" applyBorder="1"/>
    <xf numFmtId="0" fontId="12" fillId="3" borderId="0" xfId="0" applyFont="1" applyFill="1"/>
    <xf numFmtId="165" fontId="6" fillId="4" borderId="0" xfId="1" applyNumberFormat="1" applyFont="1" applyFill="1" applyAlignment="1">
      <alignment horizontal="center"/>
    </xf>
    <xf numFmtId="165" fontId="6" fillId="4" borderId="0" xfId="1" quotePrefix="1" applyNumberFormat="1" applyFont="1" applyFill="1" applyAlignment="1">
      <alignment horizontal="center"/>
    </xf>
    <xf numFmtId="165" fontId="6" fillId="4" borderId="0" xfId="1" applyNumberFormat="1" applyFont="1" applyFill="1" applyAlignment="1">
      <alignment horizontal="left"/>
    </xf>
    <xf numFmtId="165" fontId="0" fillId="4" borderId="0" xfId="1" applyNumberFormat="1" applyFont="1" applyFill="1" applyAlignment="1">
      <alignment horizontal="left"/>
    </xf>
    <xf numFmtId="165" fontId="0" fillId="4" borderId="1" xfId="1" applyNumberFormat="1" applyFont="1" applyFill="1" applyBorder="1" applyAlignment="1">
      <alignment horizontal="left"/>
    </xf>
    <xf numFmtId="165" fontId="7" fillId="4" borderId="0" xfId="1" applyNumberFormat="1" applyFont="1" applyFill="1" applyAlignment="1">
      <alignment horizontal="left"/>
    </xf>
    <xf numFmtId="0" fontId="6" fillId="0" borderId="0" xfId="0" applyFont="1"/>
    <xf numFmtId="0" fontId="7" fillId="0" borderId="0" xfId="0" applyFont="1"/>
    <xf numFmtId="165" fontId="0" fillId="0" borderId="0" xfId="1" applyNumberFormat="1" applyFont="1" applyFill="1" applyAlignment="1">
      <alignment horizontal="left"/>
    </xf>
    <xf numFmtId="164" fontId="3" fillId="0" borderId="0" xfId="1" applyNumberFormat="1" applyFont="1" applyFill="1"/>
    <xf numFmtId="164" fontId="11" fillId="0" borderId="0" xfId="1" applyNumberFormat="1" applyFont="1"/>
    <xf numFmtId="164" fontId="11" fillId="0" borderId="0" xfId="1" applyNumberFormat="1" applyFont="1" applyFill="1"/>
    <xf numFmtId="164" fontId="1" fillId="0" borderId="0" xfId="1" applyNumberFormat="1" applyFont="1"/>
    <xf numFmtId="164" fontId="5" fillId="0" borderId="0" xfId="0" applyNumberFormat="1" applyFont="1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Fill="1"/>
    <xf numFmtId="0" fontId="2" fillId="2" borderId="3" xfId="0" applyNumberFormat="1" applyFont="1" applyFill="1" applyBorder="1"/>
    <xf numFmtId="0" fontId="0" fillId="2" borderId="3" xfId="0" applyNumberFormat="1" applyFill="1" applyBorder="1"/>
    <xf numFmtId="0" fontId="5" fillId="0" borderId="0" xfId="0" applyNumberFormat="1" applyFont="1"/>
    <xf numFmtId="0" fontId="2" fillId="0" borderId="0" xfId="1" applyNumberFormat="1" applyFont="1"/>
    <xf numFmtId="0" fontId="0" fillId="0" borderId="0" xfId="1" applyNumberFormat="1" applyFont="1"/>
    <xf numFmtId="0" fontId="0" fillId="2" borderId="0" xfId="1" applyNumberFormat="1" applyFont="1" applyFill="1"/>
    <xf numFmtId="0" fontId="0" fillId="0" borderId="0" xfId="1" applyNumberFormat="1" applyFont="1" applyFill="1"/>
    <xf numFmtId="0" fontId="2" fillId="0" borderId="0" xfId="1" applyNumberFormat="1" applyFont="1" applyFill="1"/>
    <xf numFmtId="0" fontId="5" fillId="0" borderId="0" xfId="1" applyNumberFormat="1" applyFont="1" applyFill="1"/>
    <xf numFmtId="164" fontId="5" fillId="0" borderId="0" xfId="0" applyNumberFormat="1" applyFont="1" applyFill="1"/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/>
    <xf numFmtId="164" fontId="0" fillId="0" borderId="0" xfId="0" applyNumberFormat="1" applyFont="1"/>
    <xf numFmtId="0" fontId="0" fillId="0" borderId="0" xfId="0" applyNumberFormat="1" applyFont="1"/>
    <xf numFmtId="0" fontId="5" fillId="0" borderId="0" xfId="0" applyNumberFormat="1" applyFont="1" applyFill="1"/>
    <xf numFmtId="0" fontId="0" fillId="0" borderId="0" xfId="0" applyNumberFormat="1" applyFont="1" applyAlignment="1">
      <alignment horizontal="left"/>
    </xf>
    <xf numFmtId="165" fontId="0" fillId="0" borderId="0" xfId="1" applyNumberFormat="1" applyFont="1" applyFill="1"/>
    <xf numFmtId="0" fontId="3" fillId="2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/>
    <xf numFmtId="0" fontId="11" fillId="0" borderId="0" xfId="0" applyNumberFormat="1" applyFont="1" applyFill="1"/>
    <xf numFmtId="0" fontId="0" fillId="0" borderId="0" xfId="0" applyNumberFormat="1" applyAlignment="1">
      <alignment wrapText="1"/>
    </xf>
    <xf numFmtId="0" fontId="9" fillId="0" borderId="0" xfId="0" applyNumberFormat="1" applyFont="1" applyFill="1"/>
    <xf numFmtId="0" fontId="4" fillId="0" borderId="0" xfId="0" applyNumberFormat="1" applyFont="1" applyFill="1"/>
    <xf numFmtId="0" fontId="10" fillId="0" borderId="0" xfId="0" applyNumberFormat="1" applyFont="1"/>
    <xf numFmtId="0" fontId="11" fillId="0" borderId="1" xfId="0" applyNumberFormat="1" applyFont="1" applyBorder="1"/>
    <xf numFmtId="0" fontId="8" fillId="0" borderId="0" xfId="0" applyNumberFormat="1" applyFont="1"/>
    <xf numFmtId="0" fontId="2" fillId="0" borderId="1" xfId="0" applyNumberFormat="1" applyFont="1" applyBorder="1"/>
    <xf numFmtId="0" fontId="0" fillId="0" borderId="0" xfId="0" applyNumberFormat="1" applyFill="1" applyBorder="1"/>
    <xf numFmtId="165" fontId="0" fillId="0" borderId="1" xfId="0" applyNumberFormat="1" applyBorder="1"/>
    <xf numFmtId="0" fontId="13" fillId="0" borderId="0" xfId="0" applyFont="1" applyBorder="1" applyAlignment="1">
      <alignment horizontal="left"/>
    </xf>
    <xf numFmtId="0" fontId="0" fillId="0" borderId="0" xfId="0" applyNumberFormat="1" applyFont="1" applyFill="1"/>
    <xf numFmtId="3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left"/>
    </xf>
    <xf numFmtId="165" fontId="16" fillId="3" borderId="0" xfId="1" applyNumberFormat="1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5" fillId="0" borderId="0" xfId="0" applyFont="1"/>
    <xf numFmtId="0" fontId="17" fillId="3" borderId="0" xfId="0" applyFont="1" applyFill="1"/>
    <xf numFmtId="0" fontId="17" fillId="3" borderId="0" xfId="0" applyFont="1" applyFill="1" applyAlignment="1">
      <alignment horizontal="left"/>
    </xf>
    <xf numFmtId="165" fontId="16" fillId="3" borderId="0" xfId="1" quotePrefix="1" applyNumberFormat="1" applyFont="1" applyFill="1" applyAlignment="1">
      <alignment horizontal="left"/>
    </xf>
    <xf numFmtId="3" fontId="16" fillId="4" borderId="0" xfId="0" quotePrefix="1" applyNumberFormat="1" applyFont="1" applyFill="1" applyAlignment="1">
      <alignment horizontal="right"/>
    </xf>
    <xf numFmtId="0" fontId="16" fillId="3" borderId="0" xfId="0" quotePrefix="1" applyNumberFormat="1" applyFont="1" applyFill="1" applyAlignment="1">
      <alignment horizontal="center"/>
    </xf>
    <xf numFmtId="49" fontId="16" fillId="4" borderId="0" xfId="0" quotePrefix="1" applyNumberFormat="1" applyFont="1" applyFill="1" applyAlignment="1">
      <alignment horizontal="right"/>
    </xf>
    <xf numFmtId="49" fontId="16" fillId="3" borderId="0" xfId="0" applyNumberFormat="1" applyFont="1" applyFill="1" applyAlignment="1">
      <alignment horizontal="right"/>
    </xf>
    <xf numFmtId="0" fontId="16" fillId="3" borderId="0" xfId="0" applyFont="1" applyFill="1"/>
    <xf numFmtId="0" fontId="16" fillId="4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165" fontId="15" fillId="3" borderId="0" xfId="1" applyNumberFormat="1" applyFont="1" applyFill="1" applyAlignment="1">
      <alignment horizontal="left"/>
    </xf>
    <xf numFmtId="3" fontId="15" fillId="4" borderId="0" xfId="0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4" fontId="15" fillId="0" borderId="0" xfId="0" applyNumberFormat="1" applyFont="1"/>
    <xf numFmtId="0" fontId="15" fillId="0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left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165" fontId="15" fillId="3" borderId="1" xfId="1" applyNumberFormat="1" applyFont="1" applyFill="1" applyBorder="1" applyAlignment="1">
      <alignment horizontal="left"/>
    </xf>
    <xf numFmtId="3" fontId="15" fillId="4" borderId="1" xfId="0" applyNumberFormat="1" applyFont="1" applyFill="1" applyBorder="1"/>
    <xf numFmtId="3" fontId="15" fillId="3" borderId="1" xfId="0" applyNumberFormat="1" applyFont="1" applyFill="1" applyBorder="1"/>
    <xf numFmtId="3" fontId="15" fillId="4" borderId="0" xfId="0" applyNumberFormat="1" applyFont="1" applyFill="1" applyAlignment="1">
      <alignment horizontal="left"/>
    </xf>
    <xf numFmtId="3" fontId="15" fillId="3" borderId="0" xfId="0" applyNumberFormat="1" applyFont="1" applyFill="1" applyAlignment="1">
      <alignment horizontal="left"/>
    </xf>
    <xf numFmtId="3" fontId="16" fillId="4" borderId="0" xfId="0" applyNumberFormat="1" applyFont="1" applyFill="1" applyAlignment="1">
      <alignment horizontal="left"/>
    </xf>
    <xf numFmtId="3" fontId="16" fillId="3" borderId="0" xfId="0" applyNumberFormat="1" applyFont="1" applyFill="1" applyAlignment="1">
      <alignment horizontal="left"/>
    </xf>
    <xf numFmtId="3" fontId="15" fillId="3" borderId="0" xfId="0" quotePrefix="1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165" fontId="17" fillId="3" borderId="0" xfId="1" applyNumberFormat="1" applyFont="1" applyFill="1" applyAlignment="1">
      <alignment horizontal="left"/>
    </xf>
    <xf numFmtId="3" fontId="17" fillId="4" borderId="0" xfId="0" applyNumberFormat="1" applyFont="1" applyFill="1"/>
    <xf numFmtId="165" fontId="15" fillId="3" borderId="0" xfId="1" applyNumberFormat="1" applyFont="1" applyFill="1"/>
    <xf numFmtId="14" fontId="16" fillId="0" borderId="0" xfId="0" quotePrefix="1" applyNumberFormat="1" applyFont="1" applyFill="1" applyAlignment="1">
      <alignment horizontal="center" wrapText="1"/>
    </xf>
    <xf numFmtId="14" fontId="16" fillId="4" borderId="0" xfId="0" quotePrefix="1" applyNumberFormat="1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6" fillId="0" borderId="0" xfId="0" applyFont="1" applyAlignment="1">
      <alignment horizontal="right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165" fontId="18" fillId="3" borderId="0" xfId="1" applyNumberFormat="1" applyFont="1" applyFill="1" applyAlignment="1">
      <alignment horizontal="left"/>
    </xf>
    <xf numFmtId="3" fontId="15" fillId="0" borderId="0" xfId="0" applyNumberFormat="1" applyFont="1"/>
    <xf numFmtId="0" fontId="18" fillId="3" borderId="1" xfId="0" applyFont="1" applyFill="1" applyBorder="1"/>
    <xf numFmtId="0" fontId="18" fillId="3" borderId="1" xfId="0" applyFont="1" applyFill="1" applyBorder="1" applyAlignment="1">
      <alignment horizontal="left"/>
    </xf>
    <xf numFmtId="165" fontId="18" fillId="3" borderId="1" xfId="1" applyNumberFormat="1" applyFont="1" applyFill="1" applyBorder="1" applyAlignment="1">
      <alignment horizontal="left"/>
    </xf>
    <xf numFmtId="165" fontId="18" fillId="4" borderId="1" xfId="1" applyNumberFormat="1" applyFont="1" applyFill="1" applyBorder="1" applyAlignment="1">
      <alignment horizontal="left"/>
    </xf>
    <xf numFmtId="3" fontId="15" fillId="0" borderId="0" xfId="0" applyNumberFormat="1" applyFont="1" applyBorder="1"/>
    <xf numFmtId="3" fontId="18" fillId="4" borderId="0" xfId="0" applyNumberFormat="1" applyFont="1" applyFill="1" applyAlignment="1">
      <alignment horizontal="right"/>
    </xf>
    <xf numFmtId="3" fontId="18" fillId="4" borderId="1" xfId="0" applyNumberFormat="1" applyFont="1" applyFill="1" applyBorder="1"/>
    <xf numFmtId="3" fontId="17" fillId="0" borderId="0" xfId="0" applyNumberFormat="1" applyFont="1" applyBorder="1"/>
    <xf numFmtId="0" fontId="15" fillId="3" borderId="0" xfId="0" applyFont="1" applyFill="1" applyAlignment="1">
      <alignment horizontal="left"/>
    </xf>
    <xf numFmtId="0" fontId="18" fillId="3" borderId="0" xfId="0" applyFont="1" applyFill="1" applyBorder="1"/>
    <xf numFmtId="0" fontId="15" fillId="3" borderId="2" xfId="0" applyFont="1" applyFill="1" applyBorder="1"/>
    <xf numFmtId="0" fontId="15" fillId="3" borderId="2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165" fontId="15" fillId="0" borderId="0" xfId="1" applyNumberFormat="1" applyFont="1" applyAlignment="1">
      <alignment horizontal="left"/>
    </xf>
    <xf numFmtId="165" fontId="15" fillId="0" borderId="0" xfId="1" applyNumberFormat="1" applyFont="1"/>
    <xf numFmtId="0" fontId="2" fillId="0" borderId="0" xfId="0" applyFont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165" fontId="6" fillId="5" borderId="0" xfId="1" quotePrefix="1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3" fontId="5" fillId="5" borderId="0" xfId="0" applyNumberFormat="1" applyFont="1" applyFill="1" applyAlignment="1">
      <alignment horizontal="right"/>
    </xf>
    <xf numFmtId="3" fontId="5" fillId="5" borderId="1" xfId="0" applyNumberFormat="1" applyFont="1" applyFill="1" applyBorder="1"/>
    <xf numFmtId="3" fontId="5" fillId="5" borderId="0" xfId="0" applyNumberFormat="1" applyFont="1" applyFill="1" applyAlignment="1">
      <alignment horizontal="left"/>
    </xf>
    <xf numFmtId="3" fontId="6" fillId="5" borderId="0" xfId="0" applyNumberFormat="1" applyFont="1" applyFill="1" applyAlignment="1">
      <alignment horizontal="left"/>
    </xf>
    <xf numFmtId="3" fontId="0" fillId="5" borderId="0" xfId="0" applyNumberFormat="1" applyFill="1" applyAlignment="1">
      <alignment horizontal="left"/>
    </xf>
    <xf numFmtId="165" fontId="7" fillId="5" borderId="0" xfId="1" applyNumberFormat="1" applyFont="1" applyFill="1" applyAlignment="1">
      <alignment horizontal="left"/>
    </xf>
    <xf numFmtId="165" fontId="6" fillId="5" borderId="0" xfId="0" quotePrefix="1" applyNumberFormat="1" applyFont="1" applyFill="1" applyAlignment="1">
      <alignment horizontal="center" wrapText="1"/>
    </xf>
    <xf numFmtId="3" fontId="0" fillId="5" borderId="1" xfId="0" applyNumberFormat="1" applyFont="1" applyFill="1" applyBorder="1"/>
    <xf numFmtId="0" fontId="5" fillId="5" borderId="0" xfId="0" applyFont="1" applyFill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0" zoomScaleNormal="80" zoomScalePageLayoutView="90" workbookViewId="0">
      <selection activeCell="Q17" sqref="Q17"/>
    </sheetView>
  </sheetViews>
  <sheetFormatPr baseColWidth="10" defaultColWidth="11.42578125" defaultRowHeight="15" x14ac:dyDescent="0.25"/>
  <cols>
    <col min="3" max="3" width="17.140625" customWidth="1"/>
    <col min="4" max="4" width="5.42578125" style="105" customWidth="1"/>
    <col min="5" max="5" width="19.7109375" customWidth="1"/>
    <col min="6" max="6" width="19.7109375" style="3" customWidth="1"/>
    <col min="7" max="7" width="19.7109375" customWidth="1"/>
    <col min="8" max="8" width="19.7109375" style="3" customWidth="1"/>
    <col min="9" max="9" width="19.7109375" customWidth="1"/>
    <col min="10" max="10" width="19.7109375" style="3" customWidth="1"/>
  </cols>
  <sheetData>
    <row r="1" spans="1:12" ht="40.5" customHeight="1" x14ac:dyDescent="0.25">
      <c r="A1" s="51" t="s">
        <v>9</v>
      </c>
      <c r="B1" s="14"/>
      <c r="C1" s="14"/>
      <c r="D1" s="16"/>
      <c r="E1" s="168" t="s">
        <v>161</v>
      </c>
      <c r="F1" s="52" t="s">
        <v>74</v>
      </c>
      <c r="G1" s="168" t="s">
        <v>75</v>
      </c>
      <c r="H1" s="52" t="s">
        <v>57</v>
      </c>
      <c r="I1" s="168" t="s">
        <v>76</v>
      </c>
      <c r="J1" s="52" t="s">
        <v>58</v>
      </c>
    </row>
    <row r="2" spans="1:12" x14ac:dyDescent="0.25">
      <c r="A2" s="17"/>
      <c r="B2" s="14"/>
      <c r="C2" s="14"/>
      <c r="D2" s="36" t="s">
        <v>9</v>
      </c>
      <c r="E2" s="169" t="s">
        <v>159</v>
      </c>
      <c r="F2" s="53" t="s">
        <v>70</v>
      </c>
      <c r="G2" s="169" t="s">
        <v>70</v>
      </c>
      <c r="H2" s="53" t="s">
        <v>31</v>
      </c>
      <c r="I2" s="169" t="s">
        <v>31</v>
      </c>
      <c r="J2" s="53" t="s">
        <v>25</v>
      </c>
    </row>
    <row r="3" spans="1:12" x14ac:dyDescent="0.25">
      <c r="A3" s="14"/>
      <c r="B3" s="14"/>
      <c r="C3" s="14"/>
      <c r="D3" s="36" t="s">
        <v>10</v>
      </c>
      <c r="E3" s="169" t="s">
        <v>160</v>
      </c>
      <c r="F3" s="53" t="s">
        <v>71</v>
      </c>
      <c r="G3" s="169" t="s">
        <v>72</v>
      </c>
      <c r="H3" s="53" t="s">
        <v>32</v>
      </c>
      <c r="I3" s="169" t="s">
        <v>33</v>
      </c>
      <c r="J3" s="53" t="s">
        <v>30</v>
      </c>
    </row>
    <row r="4" spans="1:12" x14ac:dyDescent="0.25">
      <c r="A4" s="18" t="s">
        <v>0</v>
      </c>
      <c r="B4" s="14"/>
      <c r="C4" s="14"/>
      <c r="D4" s="16"/>
      <c r="E4" s="170"/>
      <c r="F4" s="54"/>
      <c r="G4" s="170"/>
      <c r="H4" s="54"/>
      <c r="I4" s="170"/>
      <c r="J4" s="54"/>
    </row>
    <row r="5" spans="1:12" x14ac:dyDescent="0.25">
      <c r="A5" s="14" t="s">
        <v>36</v>
      </c>
      <c r="B5" s="14"/>
      <c r="C5" s="14"/>
      <c r="D5" s="34">
        <v>1</v>
      </c>
      <c r="E5" s="171">
        <f>+Noter!C9</f>
        <v>27000</v>
      </c>
      <c r="F5" s="55">
        <f>+Noter!E9</f>
        <v>33515.159999999996</v>
      </c>
      <c r="G5" s="171">
        <f>+Noter!G9</f>
        <v>25000</v>
      </c>
      <c r="H5" s="55">
        <v>30353.850000000002</v>
      </c>
      <c r="I5" s="171">
        <v>25000</v>
      </c>
      <c r="J5" s="55">
        <v>31760</v>
      </c>
      <c r="L5" s="19"/>
    </row>
    <row r="6" spans="1:12" x14ac:dyDescent="0.25">
      <c r="A6" s="14" t="s">
        <v>128</v>
      </c>
      <c r="B6" s="14"/>
      <c r="C6" s="14"/>
      <c r="D6" s="34">
        <v>2</v>
      </c>
      <c r="E6" s="171">
        <f>+Noter!C17</f>
        <v>80000</v>
      </c>
      <c r="F6" s="55">
        <f>+Noter!E17</f>
        <v>0</v>
      </c>
      <c r="G6" s="171">
        <f>+Noter!G17</f>
        <v>0</v>
      </c>
      <c r="H6" s="55">
        <v>96628.049999999988</v>
      </c>
      <c r="I6" s="171">
        <v>65000</v>
      </c>
      <c r="J6" s="55">
        <v>0</v>
      </c>
      <c r="L6" s="19"/>
    </row>
    <row r="7" spans="1:12" x14ac:dyDescent="0.25">
      <c r="A7" s="14" t="s">
        <v>11</v>
      </c>
      <c r="B7" s="14"/>
      <c r="C7" s="14"/>
      <c r="D7" s="34">
        <v>4</v>
      </c>
      <c r="E7" s="171">
        <v>0</v>
      </c>
      <c r="F7" s="55">
        <f>-Noter!E24</f>
        <v>13500</v>
      </c>
      <c r="G7" s="171">
        <f>+Noter!G24</f>
        <v>0</v>
      </c>
      <c r="H7" s="55">
        <v>26868.54</v>
      </c>
      <c r="I7" s="171">
        <v>0</v>
      </c>
      <c r="J7" s="55">
        <v>18602.07</v>
      </c>
      <c r="L7" s="19"/>
    </row>
    <row r="8" spans="1:12" x14ac:dyDescent="0.25">
      <c r="A8" s="14" t="s">
        <v>54</v>
      </c>
      <c r="B8" s="14"/>
      <c r="C8" s="14"/>
      <c r="D8" s="34">
        <v>7</v>
      </c>
      <c r="E8" s="171">
        <f>+Noter!C41</f>
        <v>500</v>
      </c>
      <c r="F8" s="55">
        <f>+Noter!E41</f>
        <v>311.27</v>
      </c>
      <c r="G8" s="171">
        <f>+Noter!G41</f>
        <v>1000</v>
      </c>
      <c r="H8" s="55">
        <v>1154.9000000000001</v>
      </c>
      <c r="I8" s="171"/>
      <c r="J8" s="55">
        <v>276.79000000000002</v>
      </c>
      <c r="L8" s="19"/>
    </row>
    <row r="9" spans="1:12" x14ac:dyDescent="0.25">
      <c r="A9" s="14" t="s">
        <v>37</v>
      </c>
      <c r="B9" s="14"/>
      <c r="C9" s="14"/>
      <c r="D9" s="34">
        <v>6</v>
      </c>
      <c r="E9" s="171">
        <v>0</v>
      </c>
      <c r="F9" s="55">
        <f>+Noter!E38</f>
        <v>45548.79</v>
      </c>
      <c r="G9" s="171">
        <f>+Noter!G38</f>
        <v>0</v>
      </c>
      <c r="H9" s="55">
        <v>150</v>
      </c>
      <c r="I9" s="171"/>
      <c r="J9" s="55">
        <v>0</v>
      </c>
      <c r="L9" s="19"/>
    </row>
    <row r="10" spans="1:12" x14ac:dyDescent="0.25">
      <c r="A10" s="20" t="s">
        <v>5</v>
      </c>
      <c r="B10" s="20"/>
      <c r="C10" s="20"/>
      <c r="D10" s="35"/>
      <c r="E10" s="172">
        <f>SUM(E5:E9)</f>
        <v>107500</v>
      </c>
      <c r="F10" s="56">
        <f>SUM(F5:F9)</f>
        <v>92875.22</v>
      </c>
      <c r="G10" s="172">
        <f>SUM(G5:G8)</f>
        <v>26000</v>
      </c>
      <c r="H10" s="56">
        <v>155155.34</v>
      </c>
      <c r="I10" s="172">
        <v>90000</v>
      </c>
      <c r="J10" s="56">
        <v>50638.86</v>
      </c>
    </row>
    <row r="11" spans="1:12" x14ac:dyDescent="0.25">
      <c r="A11" s="14"/>
      <c r="B11" s="14"/>
      <c r="C11" s="14"/>
      <c r="D11" s="34"/>
      <c r="E11" s="173"/>
      <c r="F11" s="55"/>
      <c r="G11" s="173"/>
      <c r="H11" s="55"/>
      <c r="I11" s="173"/>
      <c r="J11" s="55"/>
    </row>
    <row r="12" spans="1:12" x14ac:dyDescent="0.25">
      <c r="A12" s="18" t="s">
        <v>2</v>
      </c>
      <c r="B12" s="14"/>
      <c r="C12" s="14"/>
      <c r="D12" s="16"/>
      <c r="E12" s="174"/>
      <c r="F12" s="54"/>
      <c r="G12" s="174"/>
      <c r="H12" s="54"/>
      <c r="I12" s="174"/>
      <c r="J12" s="54"/>
    </row>
    <row r="13" spans="1:12" x14ac:dyDescent="0.25">
      <c r="A13" s="14" t="s">
        <v>38</v>
      </c>
      <c r="B13" s="14"/>
      <c r="C13" s="14"/>
      <c r="D13" s="102">
        <v>3</v>
      </c>
      <c r="E13" s="171">
        <f>+Noter!C21</f>
        <v>10000</v>
      </c>
      <c r="F13" s="55">
        <f>-Noter!E21</f>
        <v>0</v>
      </c>
      <c r="G13" s="171">
        <f>+Noter!G21</f>
        <v>10000</v>
      </c>
      <c r="H13" s="55">
        <v>0</v>
      </c>
      <c r="I13" s="171">
        <v>5000</v>
      </c>
      <c r="J13" s="55">
        <v>5000</v>
      </c>
    </row>
    <row r="14" spans="1:12" x14ac:dyDescent="0.25">
      <c r="A14" s="14" t="s">
        <v>39</v>
      </c>
      <c r="B14" s="14"/>
      <c r="C14" s="14"/>
      <c r="D14" s="102">
        <v>4</v>
      </c>
      <c r="E14" s="171">
        <f>+Noter!C29</f>
        <v>50000</v>
      </c>
      <c r="F14" s="55">
        <f>SUM(Noter!E25:E28)</f>
        <v>32000</v>
      </c>
      <c r="G14" s="171">
        <f>+Noter!G29</f>
        <v>102000</v>
      </c>
      <c r="H14" s="55">
        <v>0</v>
      </c>
      <c r="I14" s="171">
        <v>58000</v>
      </c>
      <c r="J14" s="55">
        <v>52000</v>
      </c>
    </row>
    <row r="15" spans="1:12" x14ac:dyDescent="0.25">
      <c r="A15" s="14" t="s">
        <v>40</v>
      </c>
      <c r="B15" s="14"/>
      <c r="C15" s="14"/>
      <c r="D15" s="34">
        <v>7</v>
      </c>
      <c r="E15" s="171">
        <f>-Noter!C42</f>
        <v>1000</v>
      </c>
      <c r="F15" s="55">
        <f>-Noter!E42</f>
        <v>603.25</v>
      </c>
      <c r="G15" s="171">
        <f>-Noter!G42</f>
        <v>480</v>
      </c>
      <c r="H15" s="55">
        <v>780</v>
      </c>
      <c r="I15" s="171"/>
      <c r="J15" s="55">
        <v>0</v>
      </c>
    </row>
    <row r="16" spans="1:12" x14ac:dyDescent="0.25">
      <c r="A16" s="14" t="s">
        <v>12</v>
      </c>
      <c r="B16" s="14"/>
      <c r="C16" s="14"/>
      <c r="D16" s="34">
        <v>5</v>
      </c>
      <c r="E16" s="171">
        <f>+Noter!C34</f>
        <v>25000</v>
      </c>
      <c r="F16" s="55">
        <f>+Noter!E34</f>
        <v>18019.190000000002</v>
      </c>
      <c r="G16" s="171">
        <f>+Noter!G34</f>
        <v>21000</v>
      </c>
      <c r="H16" s="55">
        <v>0</v>
      </c>
      <c r="I16" s="171">
        <v>21000</v>
      </c>
      <c r="J16" s="55">
        <v>2997</v>
      </c>
    </row>
    <row r="17" spans="1:13" x14ac:dyDescent="0.25">
      <c r="A17" s="20" t="s">
        <v>6</v>
      </c>
      <c r="B17" s="20"/>
      <c r="C17" s="20"/>
      <c r="D17" s="35"/>
      <c r="E17" s="172">
        <f>SUM(E13:E16)</f>
        <v>86000</v>
      </c>
      <c r="F17" s="56">
        <f>SUM(F13:F16)</f>
        <v>50622.44</v>
      </c>
      <c r="G17" s="172">
        <f>SUM(G13:G16)</f>
        <v>133480</v>
      </c>
      <c r="H17" s="56">
        <v>780</v>
      </c>
      <c r="I17" s="172">
        <v>84000</v>
      </c>
      <c r="J17" s="56">
        <v>59997</v>
      </c>
    </row>
    <row r="18" spans="1:13" x14ac:dyDescent="0.25">
      <c r="A18" s="14"/>
      <c r="B18" s="14"/>
      <c r="C18" s="14"/>
      <c r="D18" s="34"/>
      <c r="E18" s="175"/>
      <c r="F18" s="55"/>
      <c r="G18" s="175"/>
      <c r="H18" s="55"/>
      <c r="I18" s="175"/>
      <c r="J18" s="55"/>
      <c r="M18" s="19"/>
    </row>
    <row r="19" spans="1:13" x14ac:dyDescent="0.25">
      <c r="A19" s="18" t="s">
        <v>13</v>
      </c>
      <c r="B19" s="14"/>
      <c r="C19" s="14"/>
      <c r="D19" s="36"/>
      <c r="E19" s="176">
        <f>+E10-E17</f>
        <v>21500</v>
      </c>
      <c r="F19" s="57">
        <f>+F10-F17</f>
        <v>42252.78</v>
      </c>
      <c r="G19" s="176">
        <f>+G10-G17</f>
        <v>-107480</v>
      </c>
      <c r="H19" s="57">
        <v>154375.34</v>
      </c>
      <c r="I19" s="176">
        <v>6000</v>
      </c>
      <c r="J19" s="57">
        <v>-9358.14</v>
      </c>
      <c r="M19" s="19"/>
    </row>
    <row r="20" spans="1:13" x14ac:dyDescent="0.25">
      <c r="A20" s="18"/>
      <c r="B20" s="14"/>
      <c r="C20" s="14"/>
      <c r="D20" s="16"/>
      <c r="E20" s="21"/>
      <c r="F20" s="26"/>
      <c r="G20" s="21"/>
      <c r="H20" s="26"/>
      <c r="I20" s="21"/>
      <c r="J20" s="26"/>
      <c r="M20" s="19"/>
    </row>
    <row r="21" spans="1:13" x14ac:dyDescent="0.25">
      <c r="A21" s="18"/>
      <c r="B21" s="14"/>
      <c r="C21" s="14"/>
      <c r="D21" s="16"/>
      <c r="E21" s="21"/>
      <c r="F21" s="26"/>
      <c r="G21" s="21"/>
      <c r="H21" s="26"/>
      <c r="I21" s="21"/>
      <c r="J21" s="26"/>
    </row>
    <row r="22" spans="1:13" x14ac:dyDescent="0.25">
      <c r="A22" s="18" t="s">
        <v>14</v>
      </c>
      <c r="B22" s="14"/>
      <c r="C22" s="14"/>
      <c r="D22" s="16"/>
      <c r="E22" s="15"/>
      <c r="F22" s="26"/>
      <c r="G22" s="15"/>
      <c r="H22" s="26"/>
      <c r="I22" s="15"/>
      <c r="J22" s="26"/>
    </row>
    <row r="23" spans="1:13" x14ac:dyDescent="0.25">
      <c r="A23" s="18"/>
      <c r="B23" s="14"/>
      <c r="C23" s="14"/>
      <c r="D23" s="16"/>
      <c r="E23" s="177" t="s">
        <v>152</v>
      </c>
      <c r="F23" s="53" t="s">
        <v>72</v>
      </c>
      <c r="G23" s="177" t="s">
        <v>33</v>
      </c>
      <c r="H23" s="53" t="s">
        <v>33</v>
      </c>
      <c r="I23" s="177" t="s">
        <v>33</v>
      </c>
      <c r="J23" s="53" t="s">
        <v>34</v>
      </c>
      <c r="K23" s="22"/>
    </row>
    <row r="24" spans="1:13" x14ac:dyDescent="0.25">
      <c r="A24" s="30" t="s">
        <v>41</v>
      </c>
      <c r="B24" s="30"/>
      <c r="C24" s="30"/>
      <c r="D24" s="103"/>
      <c r="E24" s="171">
        <f>+F24+E19</f>
        <v>500636.53</v>
      </c>
      <c r="F24" s="33">
        <f>+H26+F19</f>
        <v>479136.53</v>
      </c>
      <c r="G24" s="171">
        <f>+H26+G19</f>
        <v>329403.75</v>
      </c>
      <c r="H24" s="33">
        <v>436883.75</v>
      </c>
      <c r="I24" s="171">
        <v>288508.40999999997</v>
      </c>
      <c r="J24" s="33">
        <v>282508.40999999997</v>
      </c>
      <c r="K24" s="23"/>
      <c r="L24" s="23"/>
    </row>
    <row r="25" spans="1:13" x14ac:dyDescent="0.25">
      <c r="A25" s="30" t="s">
        <v>15</v>
      </c>
      <c r="B25" s="28"/>
      <c r="C25" s="28"/>
      <c r="D25" s="103"/>
      <c r="E25" s="171"/>
      <c r="F25" s="33">
        <v>0</v>
      </c>
      <c r="G25" s="171"/>
      <c r="H25" s="33">
        <v>0</v>
      </c>
      <c r="I25" s="171"/>
      <c r="J25" s="33">
        <v>0</v>
      </c>
      <c r="K25" s="23"/>
    </row>
    <row r="26" spans="1:13" x14ac:dyDescent="0.25">
      <c r="A26" s="31" t="s">
        <v>16</v>
      </c>
      <c r="B26" s="29"/>
      <c r="C26" s="29"/>
      <c r="D26" s="104"/>
      <c r="E26" s="178">
        <f>SUM(E24:E25)</f>
        <v>500636.53</v>
      </c>
      <c r="F26" s="46">
        <f>SUM(F24:F25)</f>
        <v>479136.53</v>
      </c>
      <c r="G26" s="178">
        <f>SUM(G24:G25)</f>
        <v>329403.75</v>
      </c>
      <c r="H26" s="46">
        <v>436883.75</v>
      </c>
      <c r="I26" s="178">
        <v>288508.40999999997</v>
      </c>
      <c r="J26" s="46">
        <v>282508.40999999997</v>
      </c>
      <c r="K26" s="24"/>
      <c r="L26" s="12"/>
    </row>
    <row r="27" spans="1:13" x14ac:dyDescent="0.25">
      <c r="A27" s="30"/>
      <c r="B27" s="28"/>
      <c r="C27" s="28"/>
      <c r="D27" s="103"/>
      <c r="E27" s="179"/>
      <c r="F27" s="33"/>
      <c r="G27" s="179"/>
      <c r="H27" s="33"/>
      <c r="I27" s="179"/>
      <c r="J27" s="33"/>
      <c r="K27" s="23"/>
    </row>
    <row r="28" spans="1:13" x14ac:dyDescent="0.25">
      <c r="A28" s="30" t="s">
        <v>17</v>
      </c>
      <c r="B28" s="28"/>
      <c r="C28" s="28"/>
      <c r="D28" s="103"/>
      <c r="E28" s="171">
        <f>+E26</f>
        <v>500636.53</v>
      </c>
      <c r="F28" s="33">
        <f>+F26</f>
        <v>479136.53</v>
      </c>
      <c r="G28" s="171">
        <f>+G26</f>
        <v>329403.75</v>
      </c>
      <c r="H28" s="33">
        <v>436883.75</v>
      </c>
      <c r="I28" s="171">
        <v>288508.40999999997</v>
      </c>
      <c r="J28" s="33">
        <v>282508.40999999997</v>
      </c>
      <c r="K28" s="23"/>
    </row>
    <row r="29" spans="1:13" x14ac:dyDescent="0.25">
      <c r="A29" s="30" t="s">
        <v>18</v>
      </c>
      <c r="B29" s="28"/>
      <c r="C29" s="28"/>
      <c r="D29" s="103"/>
      <c r="E29" s="171"/>
      <c r="F29" s="33">
        <v>0</v>
      </c>
      <c r="G29" s="171"/>
      <c r="H29" s="33">
        <v>0</v>
      </c>
      <c r="I29" s="171"/>
      <c r="J29" s="33">
        <v>0</v>
      </c>
      <c r="K29" s="23"/>
    </row>
    <row r="30" spans="1:13" x14ac:dyDescent="0.25">
      <c r="A30" s="31" t="s">
        <v>19</v>
      </c>
      <c r="B30" s="29"/>
      <c r="C30" s="29"/>
      <c r="D30" s="104"/>
      <c r="E30" s="172">
        <f>SUM(E28:E29)</f>
        <v>500636.53</v>
      </c>
      <c r="F30" s="46">
        <f>SUM(F28:F29)</f>
        <v>479136.53</v>
      </c>
      <c r="G30" s="172">
        <f>SUM(G28:G29)</f>
        <v>329403.75</v>
      </c>
      <c r="H30" s="46">
        <v>436883.75</v>
      </c>
      <c r="I30" s="172">
        <v>288508.40999999997</v>
      </c>
      <c r="J30" s="46">
        <v>282508.40999999997</v>
      </c>
      <c r="K30" s="25"/>
    </row>
    <row r="31" spans="1:13" x14ac:dyDescent="0.25">
      <c r="E31" s="1"/>
      <c r="F31" s="27"/>
      <c r="G31" s="1"/>
      <c r="H31" s="27"/>
      <c r="I31" s="1"/>
      <c r="J31" s="27"/>
      <c r="K31" s="23"/>
    </row>
    <row r="32" spans="1:13" x14ac:dyDescent="0.25">
      <c r="A32" s="58"/>
      <c r="E32" s="1"/>
      <c r="F32" s="27"/>
      <c r="G32" s="1"/>
      <c r="H32" s="27"/>
      <c r="I32" s="1"/>
      <c r="J32" s="27"/>
    </row>
    <row r="33" spans="1:10" x14ac:dyDescent="0.25">
      <c r="E33" s="1"/>
      <c r="F33" s="27"/>
      <c r="G33" s="1"/>
      <c r="H33" s="27"/>
      <c r="I33" s="1"/>
      <c r="J33" s="27"/>
    </row>
    <row r="34" spans="1:10" x14ac:dyDescent="0.25">
      <c r="E34" s="1"/>
      <c r="F34" s="27"/>
      <c r="G34" s="1"/>
      <c r="H34" s="27"/>
      <c r="I34" s="1"/>
      <c r="J34" s="27"/>
    </row>
    <row r="35" spans="1:10" x14ac:dyDescent="0.25">
      <c r="E35" s="1"/>
      <c r="F35" s="27"/>
      <c r="G35" s="1"/>
      <c r="H35" s="27"/>
      <c r="I35" s="1"/>
      <c r="J35" s="27"/>
    </row>
    <row r="36" spans="1:10" x14ac:dyDescent="0.25">
      <c r="A36" s="59"/>
      <c r="E36" s="1"/>
      <c r="F36" s="27"/>
      <c r="G36" s="1"/>
      <c r="H36" s="27"/>
      <c r="I36" s="1"/>
      <c r="J36" s="27"/>
    </row>
    <row r="37" spans="1:10" x14ac:dyDescent="0.25">
      <c r="E37" s="1"/>
      <c r="F37" s="27"/>
      <c r="G37" s="1"/>
      <c r="H37" s="27"/>
      <c r="I37" s="1"/>
      <c r="J37" s="27"/>
    </row>
    <row r="38" spans="1:10" x14ac:dyDescent="0.25">
      <c r="E38" s="1"/>
      <c r="F38" s="27"/>
      <c r="G38" s="1"/>
      <c r="H38" s="27"/>
      <c r="I38" s="1"/>
      <c r="J38" s="27"/>
    </row>
    <row r="39" spans="1:10" x14ac:dyDescent="0.25">
      <c r="E39" s="1"/>
      <c r="F39" s="27"/>
      <c r="G39" s="1"/>
      <c r="H39" s="27"/>
      <c r="I39" s="1"/>
      <c r="J39" s="27"/>
    </row>
    <row r="40" spans="1:10" x14ac:dyDescent="0.25">
      <c r="E40" s="1"/>
      <c r="F40" s="27"/>
      <c r="G40" s="1"/>
      <c r="H40" s="27"/>
      <c r="I40" s="1"/>
      <c r="J40" s="27"/>
    </row>
    <row r="41" spans="1:10" x14ac:dyDescent="0.25">
      <c r="E41" s="1"/>
      <c r="F41" s="27"/>
      <c r="G41" s="1"/>
      <c r="H41" s="27"/>
      <c r="I41" s="1"/>
      <c r="J41" s="27"/>
    </row>
    <row r="42" spans="1:10" x14ac:dyDescent="0.25">
      <c r="E42" s="1"/>
      <c r="F42" s="27"/>
      <c r="G42" s="1"/>
      <c r="H42" s="27"/>
      <c r="I42" s="1"/>
      <c r="J42" s="27"/>
    </row>
    <row r="43" spans="1:10" x14ac:dyDescent="0.25">
      <c r="E43" s="1"/>
      <c r="F43" s="27"/>
      <c r="G43" s="1"/>
      <c r="H43" s="27"/>
      <c r="I43" s="1"/>
      <c r="J43" s="27"/>
    </row>
    <row r="44" spans="1:10" x14ac:dyDescent="0.25">
      <c r="E44" s="1"/>
      <c r="F44" s="27"/>
      <c r="G44" s="1"/>
      <c r="H44" s="27"/>
      <c r="I44" s="1"/>
      <c r="J44" s="27"/>
    </row>
    <row r="45" spans="1:10" x14ac:dyDescent="0.25">
      <c r="E45" s="1"/>
      <c r="F45" s="27"/>
      <c r="G45" s="1"/>
      <c r="H45" s="27"/>
      <c r="I45" s="1"/>
      <c r="J45" s="2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="90" zoomScaleNormal="90" workbookViewId="0">
      <selection activeCell="M43" sqref="M43"/>
    </sheetView>
  </sheetViews>
  <sheetFormatPr baseColWidth="10" defaultRowHeight="15" x14ac:dyDescent="0.25"/>
  <cols>
    <col min="1" max="1" width="45.5703125" style="66" customWidth="1"/>
    <col min="2" max="2" width="4.5703125" customWidth="1"/>
    <col min="4" max="4" width="4.5703125" customWidth="1"/>
    <col min="6" max="6" width="3.5703125" customWidth="1"/>
  </cols>
  <sheetData>
    <row r="1" spans="1:7" ht="15.75" x14ac:dyDescent="0.25">
      <c r="A1" s="92" t="s">
        <v>67</v>
      </c>
    </row>
    <row r="2" spans="1:7" x14ac:dyDescent="0.25">
      <c r="A2" s="93" t="s">
        <v>68</v>
      </c>
    </row>
    <row r="4" spans="1:7" ht="30" x14ac:dyDescent="0.25">
      <c r="A4" s="94"/>
      <c r="C4" s="167" t="s">
        <v>153</v>
      </c>
      <c r="E4" s="2" t="s">
        <v>43</v>
      </c>
      <c r="F4" s="2"/>
      <c r="G4" s="37" t="s">
        <v>44</v>
      </c>
    </row>
    <row r="5" spans="1:7" hidden="1" x14ac:dyDescent="0.25">
      <c r="A5" s="66" t="s">
        <v>132</v>
      </c>
      <c r="B5" s="3"/>
      <c r="C5" s="3">
        <v>50000</v>
      </c>
      <c r="D5" s="3"/>
      <c r="E5" s="3">
        <f>+Bilag!C5+Bilag!C14</f>
        <v>50646</v>
      </c>
      <c r="F5" s="3"/>
      <c r="G5" s="3">
        <v>46000</v>
      </c>
    </row>
    <row r="6" spans="1:7" hidden="1" x14ac:dyDescent="0.25">
      <c r="A6" s="66" t="s">
        <v>133</v>
      </c>
      <c r="B6" s="3"/>
      <c r="C6" s="3"/>
      <c r="D6" s="3"/>
      <c r="E6" s="3">
        <f>+Bilag!C7+Bilag!C8+Bilag!C9+Bilag!C10</f>
        <v>6980.95</v>
      </c>
      <c r="F6" s="3"/>
      <c r="G6" s="3"/>
    </row>
    <row r="7" spans="1:7" hidden="1" x14ac:dyDescent="0.25">
      <c r="A7" s="66" t="s">
        <v>42</v>
      </c>
      <c r="B7" s="3"/>
      <c r="C7" s="3">
        <f>-C5*0.4</f>
        <v>-20000</v>
      </c>
      <c r="D7" s="3"/>
      <c r="E7" s="3">
        <f>Bilag!C15+Bilag!C6</f>
        <v>-21210.29</v>
      </c>
      <c r="F7" s="3"/>
      <c r="G7" s="3">
        <v>-17000</v>
      </c>
    </row>
    <row r="8" spans="1:7" hidden="1" x14ac:dyDescent="0.25">
      <c r="A8" s="66" t="s">
        <v>131</v>
      </c>
      <c r="B8" s="3"/>
      <c r="C8" s="3">
        <v>-3000</v>
      </c>
      <c r="D8" s="3"/>
      <c r="E8" s="3">
        <f>Bilag!C16+Bilag!C17+Bilag!C18</f>
        <v>-2901.5</v>
      </c>
      <c r="F8" s="3"/>
      <c r="G8" s="3">
        <v>-4000</v>
      </c>
    </row>
    <row r="9" spans="1:7" hidden="1" x14ac:dyDescent="0.25">
      <c r="A9" s="95" t="str">
        <f>Bilag!B20</f>
        <v>Overskudd KULuka</v>
      </c>
      <c r="B9" s="47"/>
      <c r="C9" s="47">
        <f>SUM(C5:C8)</f>
        <v>27000</v>
      </c>
      <c r="D9" s="47"/>
      <c r="E9" s="47">
        <f>SUM(E5:E8)</f>
        <v>33515.159999999996</v>
      </c>
      <c r="F9" s="47"/>
      <c r="G9" s="47">
        <f>SUM(G5:G8)</f>
        <v>25000</v>
      </c>
    </row>
    <row r="10" spans="1:7" hidden="1" x14ac:dyDescent="0.25">
      <c r="A10" s="67"/>
      <c r="B10" s="9"/>
      <c r="C10" s="9"/>
      <c r="D10" s="9"/>
      <c r="E10" s="5"/>
      <c r="F10" s="9"/>
      <c r="G10" s="9"/>
    </row>
    <row r="11" spans="1:7" hidden="1" x14ac:dyDescent="0.25">
      <c r="A11" s="94" t="s">
        <v>45</v>
      </c>
    </row>
    <row r="12" spans="1:7" hidden="1" x14ac:dyDescent="0.25">
      <c r="A12" s="66" t="s">
        <v>154</v>
      </c>
      <c r="B12" s="3"/>
      <c r="C12" s="3">
        <v>115000</v>
      </c>
      <c r="D12" s="3"/>
      <c r="E12" s="3"/>
      <c r="F12" s="3"/>
      <c r="G12" s="3">
        <v>0</v>
      </c>
    </row>
    <row r="13" spans="1:7" hidden="1" x14ac:dyDescent="0.25">
      <c r="A13" s="66" t="s">
        <v>155</v>
      </c>
      <c r="B13" s="3"/>
      <c r="C13" s="3">
        <v>10000</v>
      </c>
      <c r="D13" s="3"/>
      <c r="E13" s="3"/>
      <c r="F13" s="3"/>
      <c r="G13" s="3"/>
    </row>
    <row r="14" spans="1:7" hidden="1" x14ac:dyDescent="0.25">
      <c r="A14" s="66" t="s">
        <v>156</v>
      </c>
      <c r="B14" s="3"/>
      <c r="C14" s="3">
        <v>-25000</v>
      </c>
      <c r="D14" s="3"/>
      <c r="E14" s="3"/>
      <c r="F14" s="3"/>
      <c r="G14" s="3"/>
    </row>
    <row r="15" spans="1:7" hidden="1" x14ac:dyDescent="0.25">
      <c r="A15" s="66" t="s">
        <v>157</v>
      </c>
      <c r="B15" s="3"/>
      <c r="C15" s="3">
        <v>-10000</v>
      </c>
      <c r="D15" s="3"/>
      <c r="E15" s="3"/>
      <c r="F15" s="3"/>
      <c r="G15" s="3"/>
    </row>
    <row r="16" spans="1:7" hidden="1" x14ac:dyDescent="0.25">
      <c r="A16" s="66" t="s">
        <v>158</v>
      </c>
      <c r="B16" s="3"/>
      <c r="C16" s="3">
        <v>-10000</v>
      </c>
      <c r="D16" s="3"/>
      <c r="E16" s="3"/>
      <c r="F16" s="3"/>
      <c r="G16" s="3"/>
    </row>
    <row r="17" spans="1:7" hidden="1" x14ac:dyDescent="0.25">
      <c r="A17" s="95" t="str">
        <f>Bilag!B29</f>
        <v>Overskudd 17. mai</v>
      </c>
      <c r="B17" s="47"/>
      <c r="C17" s="47">
        <f>SUM(C12:C16)</f>
        <v>80000</v>
      </c>
      <c r="D17" s="47"/>
      <c r="E17" s="47">
        <f>SUM(E12:E16)</f>
        <v>0</v>
      </c>
      <c r="F17" s="47"/>
      <c r="G17" s="47">
        <f>SUM(G12:G16)</f>
        <v>0</v>
      </c>
    </row>
    <row r="18" spans="1:7" hidden="1" x14ac:dyDescent="0.25"/>
    <row r="19" spans="1:7" x14ac:dyDescent="0.25">
      <c r="A19" s="96" t="s">
        <v>47</v>
      </c>
      <c r="B19" s="3"/>
      <c r="C19" s="3"/>
      <c r="D19" s="3"/>
      <c r="E19" s="3"/>
      <c r="F19" s="3"/>
      <c r="G19" s="3"/>
    </row>
    <row r="20" spans="1:7" x14ac:dyDescent="0.25">
      <c r="A20" s="66" t="str">
        <f>Bilag!B31</f>
        <v>Refleksaksjonen</v>
      </c>
      <c r="B20" s="3"/>
      <c r="C20" s="3">
        <v>10000</v>
      </c>
      <c r="D20" s="3"/>
      <c r="E20" s="3">
        <f>Bilag!C31</f>
        <v>0</v>
      </c>
      <c r="F20" s="3"/>
      <c r="G20" s="3">
        <f>5000*2</f>
        <v>10000</v>
      </c>
    </row>
    <row r="21" spans="1:7" x14ac:dyDescent="0.25">
      <c r="A21" s="97" t="str">
        <f>Bilag!B32</f>
        <v>Refleksaksjonen (overført til skolen)</v>
      </c>
      <c r="B21" s="49"/>
      <c r="C21" s="49">
        <f>SUM(C20)</f>
        <v>10000</v>
      </c>
      <c r="D21" s="49"/>
      <c r="E21" s="49">
        <f>SUM(E20)</f>
        <v>0</v>
      </c>
      <c r="F21" s="49"/>
      <c r="G21" s="49">
        <f>SUM(G19:G20)</f>
        <v>10000</v>
      </c>
    </row>
    <row r="23" spans="1:7" x14ac:dyDescent="0.25">
      <c r="A23" s="96" t="s">
        <v>48</v>
      </c>
      <c r="G23" s="32"/>
    </row>
    <row r="24" spans="1:7" x14ac:dyDescent="0.25">
      <c r="A24" s="98" t="s">
        <v>11</v>
      </c>
      <c r="C24" s="60">
        <v>0</v>
      </c>
      <c r="E24" s="60">
        <f>-Bilag!C35</f>
        <v>-13500</v>
      </c>
      <c r="G24" s="60">
        <v>0</v>
      </c>
    </row>
    <row r="25" spans="1:7" x14ac:dyDescent="0.25">
      <c r="A25" s="98" t="str">
        <f>Bilag!B39</f>
        <v>Bondegårdstur barnetrinnet (3 klasse)</v>
      </c>
      <c r="C25" s="60">
        <v>0</v>
      </c>
      <c r="E25" s="60">
        <f>-Bilag!C39</f>
        <v>0</v>
      </c>
      <c r="G25" s="86">
        <v>5000</v>
      </c>
    </row>
    <row r="26" spans="1:7" x14ac:dyDescent="0.25">
      <c r="A26" s="98" t="str">
        <f>Bilag!B40</f>
        <v>Tilskudd for Prøysentur, Bøler Skole</v>
      </c>
      <c r="C26" s="60">
        <v>5000</v>
      </c>
      <c r="E26" s="60">
        <f>-Bilag!C40</f>
        <v>5000</v>
      </c>
      <c r="G26" s="3">
        <v>8000</v>
      </c>
    </row>
    <row r="27" spans="1:7" x14ac:dyDescent="0.25">
      <c r="A27" s="98" t="s">
        <v>162</v>
      </c>
      <c r="C27" s="60">
        <f>500*90</f>
        <v>45000</v>
      </c>
      <c r="E27" s="60">
        <f>-Bilag!C41</f>
        <v>27000</v>
      </c>
      <c r="G27" s="3">
        <f>42000*2</f>
        <v>84000</v>
      </c>
    </row>
    <row r="28" spans="1:7" x14ac:dyDescent="0.25">
      <c r="A28" s="98" t="str">
        <f>Bilag!B42</f>
        <v>Tur for M-klassen</v>
      </c>
      <c r="C28" s="60"/>
      <c r="E28" s="60">
        <f>-Bilag!C42</f>
        <v>0</v>
      </c>
      <c r="G28" s="3">
        <v>5000</v>
      </c>
    </row>
    <row r="29" spans="1:7" x14ac:dyDescent="0.25">
      <c r="A29" s="97" t="str">
        <f>Bilag!B44</f>
        <v>Tilskudd turer</v>
      </c>
      <c r="B29" s="48"/>
      <c r="C29" s="49">
        <f>SUM(C24:C28)</f>
        <v>50000</v>
      </c>
      <c r="D29" s="48"/>
      <c r="E29" s="49">
        <f>SUM(E24:E28)</f>
        <v>18500</v>
      </c>
      <c r="F29" s="48"/>
      <c r="G29" s="47">
        <f>SUM(G24:G28)</f>
        <v>102000</v>
      </c>
    </row>
    <row r="30" spans="1:7" x14ac:dyDescent="0.25">
      <c r="A30" s="67"/>
      <c r="B30" s="2"/>
      <c r="C30" s="2"/>
      <c r="D30" s="2"/>
      <c r="E30" s="2"/>
      <c r="F30" s="2"/>
      <c r="G30" s="9"/>
    </row>
    <row r="31" spans="1:7" x14ac:dyDescent="0.25">
      <c r="A31" s="96" t="s">
        <v>51</v>
      </c>
      <c r="B31" s="3"/>
      <c r="C31" s="3"/>
      <c r="D31" s="3"/>
      <c r="E31" s="3"/>
      <c r="F31" s="3"/>
      <c r="G31" s="3"/>
    </row>
    <row r="32" spans="1:7" x14ac:dyDescent="0.25">
      <c r="A32" s="66" t="s">
        <v>145</v>
      </c>
      <c r="B32" s="3"/>
      <c r="C32" s="3">
        <v>20000</v>
      </c>
      <c r="D32" s="3"/>
      <c r="E32" s="3">
        <f>-Bilag!C46-Bilag!C47</f>
        <v>13019.19</v>
      </c>
      <c r="F32" s="3"/>
      <c r="G32" s="3">
        <v>16000</v>
      </c>
    </row>
    <row r="33" spans="1:7" x14ac:dyDescent="0.25">
      <c r="A33" s="66" t="s">
        <v>77</v>
      </c>
      <c r="B33" s="3"/>
      <c r="C33" s="3">
        <v>5000</v>
      </c>
      <c r="D33" s="3"/>
      <c r="E33" s="3">
        <f>-Bilag!C48</f>
        <v>5000</v>
      </c>
      <c r="F33" s="3"/>
      <c r="G33" s="3">
        <v>5000</v>
      </c>
    </row>
    <row r="34" spans="1:7" x14ac:dyDescent="0.25">
      <c r="A34" s="97" t="str">
        <f>Bilag!B49</f>
        <v>Andre driftskostnader</v>
      </c>
      <c r="B34" s="49"/>
      <c r="C34" s="49">
        <f>SUM(C32:C33)</f>
        <v>25000</v>
      </c>
      <c r="D34" s="49"/>
      <c r="E34" s="49">
        <f>SUM(E32:E33)</f>
        <v>18019.190000000002</v>
      </c>
      <c r="F34" s="49"/>
      <c r="G34" s="49">
        <f>SUM(G32:G33)</f>
        <v>21000</v>
      </c>
    </row>
    <row r="36" spans="1:7" x14ac:dyDescent="0.25">
      <c r="A36" s="96" t="s">
        <v>52</v>
      </c>
    </row>
    <row r="37" spans="1:7" x14ac:dyDescent="0.25">
      <c r="A37" s="3" t="s">
        <v>146</v>
      </c>
      <c r="C37" s="3">
        <v>0</v>
      </c>
      <c r="E37" s="3">
        <f>+Bilag!C53</f>
        <v>45548.79</v>
      </c>
      <c r="G37" s="60">
        <v>0</v>
      </c>
    </row>
    <row r="38" spans="1:7" x14ac:dyDescent="0.25">
      <c r="A38" s="97" t="str">
        <f>Bilag!B53</f>
        <v>Andre driftsinntekter</v>
      </c>
      <c r="B38" s="50"/>
      <c r="C38" s="49">
        <f>SUM(C37:C37)</f>
        <v>0</v>
      </c>
      <c r="D38" s="50"/>
      <c r="E38" s="49">
        <f>SUM(E37:E37)</f>
        <v>45548.79</v>
      </c>
      <c r="F38" s="50"/>
      <c r="G38" s="99">
        <f>SUM(G37)</f>
        <v>0</v>
      </c>
    </row>
    <row r="40" spans="1:7" x14ac:dyDescent="0.25">
      <c r="A40" s="96" t="s">
        <v>55</v>
      </c>
      <c r="B40" s="3"/>
      <c r="C40" s="3"/>
      <c r="D40" s="3"/>
      <c r="E40" s="3"/>
      <c r="F40" s="3"/>
      <c r="G40" s="3"/>
    </row>
    <row r="41" spans="1:7" x14ac:dyDescent="0.25">
      <c r="A41" s="68" t="str">
        <f>Bilag!B56</f>
        <v>Inntekter bank</v>
      </c>
      <c r="B41" s="3"/>
      <c r="C41" s="3">
        <v>500</v>
      </c>
      <c r="D41" s="3"/>
      <c r="E41" s="3">
        <f>+Bilag!C56</f>
        <v>311.27</v>
      </c>
      <c r="F41" s="3"/>
      <c r="G41" s="3">
        <v>1000</v>
      </c>
    </row>
    <row r="42" spans="1:7" x14ac:dyDescent="0.25">
      <c r="A42" s="68" t="str">
        <f>+Bilag!B70</f>
        <v>Kostnader bank</v>
      </c>
      <c r="B42" s="3"/>
      <c r="C42" s="3">
        <v>-1000</v>
      </c>
      <c r="D42" s="3"/>
      <c r="E42" s="3">
        <f>+Bilag!C70</f>
        <v>-603.25</v>
      </c>
      <c r="F42" s="3"/>
      <c r="G42" s="60">
        <f>-40*12</f>
        <v>-480</v>
      </c>
    </row>
    <row r="43" spans="1:7" x14ac:dyDescent="0.25">
      <c r="A43" s="97" t="str">
        <f>Bilag!B71</f>
        <v>Gebyr/renter</v>
      </c>
      <c r="B43" s="49"/>
      <c r="C43" s="49">
        <f>+C41+C42</f>
        <v>-500</v>
      </c>
      <c r="D43" s="49"/>
      <c r="E43" s="49">
        <f>SUM(E41:E42)</f>
        <v>-291.98</v>
      </c>
      <c r="F43" s="49"/>
      <c r="G43" s="49">
        <f>SUM(G41:G42)</f>
        <v>520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I7" sqref="I7"/>
    </sheetView>
  </sheetViews>
  <sheetFormatPr baseColWidth="10" defaultColWidth="11.42578125" defaultRowHeight="15" x14ac:dyDescent="0.25"/>
  <cols>
    <col min="1" max="2" width="11.42578125" style="113"/>
    <col min="3" max="3" width="12.85546875" style="113" customWidth="1"/>
    <col min="4" max="4" width="5.42578125" style="113" customWidth="1"/>
    <col min="5" max="5" width="11.42578125" style="166"/>
    <col min="6" max="6" width="3.28515625" style="166" customWidth="1"/>
    <col min="7" max="8" width="11.42578125" style="113" customWidth="1"/>
    <col min="9" max="16384" width="11.42578125" style="113"/>
  </cols>
  <sheetData>
    <row r="1" spans="1:10" ht="18" x14ac:dyDescent="0.25">
      <c r="A1" s="107" t="s">
        <v>69</v>
      </c>
      <c r="B1" s="108"/>
      <c r="C1" s="108"/>
      <c r="D1" s="109"/>
      <c r="E1" s="110" t="s">
        <v>8</v>
      </c>
      <c r="F1" s="110"/>
      <c r="G1" s="111" t="s">
        <v>20</v>
      </c>
      <c r="H1" s="112" t="s">
        <v>24</v>
      </c>
    </row>
    <row r="2" spans="1:10" x14ac:dyDescent="0.25">
      <c r="A2" s="114"/>
      <c r="B2" s="108"/>
      <c r="C2" s="108"/>
      <c r="D2" s="115" t="s">
        <v>9</v>
      </c>
      <c r="E2" s="116" t="s">
        <v>70</v>
      </c>
      <c r="F2" s="110"/>
      <c r="G2" s="117" t="s">
        <v>31</v>
      </c>
      <c r="H2" s="118" t="s">
        <v>130</v>
      </c>
    </row>
    <row r="3" spans="1:10" x14ac:dyDescent="0.25">
      <c r="A3" s="108"/>
      <c r="B3" s="108"/>
      <c r="C3" s="108"/>
      <c r="D3" s="115" t="s">
        <v>10</v>
      </c>
      <c r="E3" s="116" t="s">
        <v>71</v>
      </c>
      <c r="F3" s="110"/>
      <c r="G3" s="119" t="s">
        <v>32</v>
      </c>
      <c r="H3" s="120"/>
    </row>
    <row r="4" spans="1:10" x14ac:dyDescent="0.25">
      <c r="A4" s="121" t="s">
        <v>0</v>
      </c>
      <c r="B4" s="108"/>
      <c r="C4" s="108"/>
      <c r="D4" s="109"/>
      <c r="E4" s="110"/>
      <c r="F4" s="110"/>
      <c r="G4" s="122"/>
      <c r="H4" s="109"/>
    </row>
    <row r="5" spans="1:10" x14ac:dyDescent="0.25">
      <c r="A5" s="108" t="s">
        <v>36</v>
      </c>
      <c r="B5" s="108"/>
      <c r="C5" s="108"/>
      <c r="D5" s="123">
        <v>1</v>
      </c>
      <c r="E5" s="124">
        <f>+Noter!E9</f>
        <v>33515.159999999996</v>
      </c>
      <c r="F5" s="124"/>
      <c r="G5" s="125">
        <v>30354</v>
      </c>
      <c r="H5" s="126">
        <f>+E5-G5</f>
        <v>3161.1599999999962</v>
      </c>
      <c r="J5" s="127"/>
    </row>
    <row r="6" spans="1:10" x14ac:dyDescent="0.25">
      <c r="A6" s="108" t="s">
        <v>28</v>
      </c>
      <c r="B6" s="108"/>
      <c r="C6" s="108"/>
      <c r="D6" s="128">
        <v>2</v>
      </c>
      <c r="E6" s="124">
        <f>+Noter!E17</f>
        <v>0</v>
      </c>
      <c r="F6" s="124"/>
      <c r="G6" s="129">
        <v>96628</v>
      </c>
      <c r="H6" s="124">
        <f>+E6-G6</f>
        <v>-96628</v>
      </c>
      <c r="J6" s="127"/>
    </row>
    <row r="7" spans="1:10" x14ac:dyDescent="0.25">
      <c r="A7" s="108" t="s">
        <v>11</v>
      </c>
      <c r="B7" s="108"/>
      <c r="C7" s="108"/>
      <c r="D7" s="123">
        <v>4</v>
      </c>
      <c r="E7" s="124">
        <f>-Noter!E24</f>
        <v>13500</v>
      </c>
      <c r="F7" s="124"/>
      <c r="G7" s="125">
        <v>26869</v>
      </c>
      <c r="H7" s="126">
        <f>+E7-G7</f>
        <v>-13369</v>
      </c>
      <c r="J7" s="127"/>
    </row>
    <row r="8" spans="1:10" x14ac:dyDescent="0.25">
      <c r="A8" s="108" t="s">
        <v>54</v>
      </c>
      <c r="B8" s="108"/>
      <c r="C8" s="108"/>
      <c r="D8" s="123">
        <v>7</v>
      </c>
      <c r="E8" s="124">
        <f>+Noter!E41</f>
        <v>311.27</v>
      </c>
      <c r="F8" s="124"/>
      <c r="G8" s="125">
        <v>1155</v>
      </c>
      <c r="H8" s="126"/>
      <c r="J8" s="127"/>
    </row>
    <row r="9" spans="1:10" x14ac:dyDescent="0.25">
      <c r="A9" s="108" t="s">
        <v>37</v>
      </c>
      <c r="B9" s="108"/>
      <c r="C9" s="108"/>
      <c r="D9" s="123">
        <v>6</v>
      </c>
      <c r="E9" s="124">
        <f>+Noter!E38</f>
        <v>45548.79</v>
      </c>
      <c r="F9" s="124"/>
      <c r="G9" s="129">
        <v>150</v>
      </c>
      <c r="H9" s="124"/>
      <c r="J9" s="127"/>
    </row>
    <row r="10" spans="1:10" x14ac:dyDescent="0.25">
      <c r="A10" s="130" t="s">
        <v>5</v>
      </c>
      <c r="B10" s="130"/>
      <c r="C10" s="130"/>
      <c r="D10" s="131"/>
      <c r="E10" s="132">
        <f>SUM(E5:E9)</f>
        <v>92875.22</v>
      </c>
      <c r="F10" s="132"/>
      <c r="G10" s="133">
        <f>SUM(G5:G9)</f>
        <v>155156</v>
      </c>
      <c r="H10" s="134">
        <f>+E10-G10</f>
        <v>-62280.78</v>
      </c>
    </row>
    <row r="11" spans="1:10" x14ac:dyDescent="0.25">
      <c r="A11" s="108"/>
      <c r="B11" s="108"/>
      <c r="C11" s="108"/>
      <c r="D11" s="123"/>
      <c r="E11" s="124"/>
      <c r="F11" s="124"/>
      <c r="G11" s="135"/>
      <c r="H11" s="136"/>
    </row>
    <row r="12" spans="1:10" x14ac:dyDescent="0.25">
      <c r="A12" s="121" t="s">
        <v>2</v>
      </c>
      <c r="B12" s="108"/>
      <c r="C12" s="108"/>
      <c r="D12" s="112"/>
      <c r="E12" s="110"/>
      <c r="F12" s="110"/>
      <c r="G12" s="137"/>
      <c r="H12" s="138"/>
    </row>
    <row r="13" spans="1:10" x14ac:dyDescent="0.25">
      <c r="A13" s="108" t="s">
        <v>38</v>
      </c>
      <c r="B13" s="108"/>
      <c r="C13" s="108"/>
      <c r="D13" s="139">
        <v>3</v>
      </c>
      <c r="E13" s="124">
        <f>-Noter!E21</f>
        <v>0</v>
      </c>
      <c r="F13" s="124"/>
      <c r="G13" s="125"/>
      <c r="H13" s="126">
        <f>+E13-G13</f>
        <v>0</v>
      </c>
    </row>
    <row r="14" spans="1:10" x14ac:dyDescent="0.25">
      <c r="A14" s="108" t="s">
        <v>39</v>
      </c>
      <c r="B14" s="108"/>
      <c r="C14" s="108"/>
      <c r="D14" s="139">
        <v>4</v>
      </c>
      <c r="E14" s="124">
        <f>SUM(Noter!E25:E28)</f>
        <v>32000</v>
      </c>
      <c r="F14" s="124"/>
      <c r="G14" s="125"/>
      <c r="H14" s="126">
        <f>+E14-G14</f>
        <v>32000</v>
      </c>
    </row>
    <row r="15" spans="1:10" x14ac:dyDescent="0.25">
      <c r="A15" s="108" t="s">
        <v>40</v>
      </c>
      <c r="B15" s="108"/>
      <c r="C15" s="108"/>
      <c r="D15" s="123">
        <v>7</v>
      </c>
      <c r="E15" s="124">
        <f>-Noter!E42</f>
        <v>603.25</v>
      </c>
      <c r="F15" s="124"/>
      <c r="G15" s="129">
        <v>780</v>
      </c>
      <c r="H15" s="124">
        <f>+E15-G15</f>
        <v>-176.75</v>
      </c>
    </row>
    <row r="16" spans="1:10" x14ac:dyDescent="0.25">
      <c r="A16" s="108" t="s">
        <v>12</v>
      </c>
      <c r="B16" s="108"/>
      <c r="C16" s="108"/>
      <c r="D16" s="123">
        <v>5</v>
      </c>
      <c r="E16" s="124">
        <f>Noter!E34</f>
        <v>18019.190000000002</v>
      </c>
      <c r="F16" s="124"/>
      <c r="G16" s="125"/>
      <c r="H16" s="126">
        <f>+E16-G16</f>
        <v>18019.190000000002</v>
      </c>
    </row>
    <row r="17" spans="1:11" x14ac:dyDescent="0.25">
      <c r="A17" s="130" t="s">
        <v>6</v>
      </c>
      <c r="B17" s="130"/>
      <c r="C17" s="130"/>
      <c r="D17" s="131"/>
      <c r="E17" s="132">
        <f>SUM(E13:E16)</f>
        <v>50622.44</v>
      </c>
      <c r="F17" s="132"/>
      <c r="G17" s="133">
        <f>SUM(G13:G16)</f>
        <v>780</v>
      </c>
      <c r="H17" s="134">
        <f>+E17-G17</f>
        <v>49842.44</v>
      </c>
    </row>
    <row r="18" spans="1:11" x14ac:dyDescent="0.25">
      <c r="A18" s="108"/>
      <c r="B18" s="108"/>
      <c r="C18" s="108"/>
      <c r="D18" s="123"/>
      <c r="E18" s="124"/>
      <c r="F18" s="124"/>
      <c r="G18" s="135"/>
      <c r="H18" s="136"/>
      <c r="K18" s="127"/>
    </row>
    <row r="19" spans="1:11" x14ac:dyDescent="0.25">
      <c r="A19" s="121" t="s">
        <v>13</v>
      </c>
      <c r="B19" s="108"/>
      <c r="C19" s="108"/>
      <c r="D19" s="140"/>
      <c r="E19" s="110">
        <f>+E10-E17</f>
        <v>42252.78</v>
      </c>
      <c r="F19" s="141"/>
      <c r="G19" s="142">
        <f>G10-G17</f>
        <v>154376</v>
      </c>
      <c r="H19" s="126">
        <f>+E19-G19</f>
        <v>-112123.22</v>
      </c>
      <c r="K19" s="127"/>
    </row>
    <row r="20" spans="1:11" x14ac:dyDescent="0.25">
      <c r="A20" s="121"/>
      <c r="B20" s="108"/>
      <c r="C20" s="108"/>
      <c r="D20" s="112"/>
      <c r="E20" s="143"/>
      <c r="F20" s="143"/>
      <c r="G20" s="138"/>
      <c r="H20" s="138"/>
      <c r="K20" s="127"/>
    </row>
    <row r="21" spans="1:11" x14ac:dyDescent="0.25">
      <c r="A21" s="121"/>
      <c r="B21" s="108"/>
      <c r="C21" s="108"/>
      <c r="D21" s="109"/>
      <c r="E21" s="110"/>
      <c r="F21" s="110"/>
      <c r="G21" s="138"/>
      <c r="H21" s="110"/>
    </row>
    <row r="22" spans="1:11" x14ac:dyDescent="0.25">
      <c r="A22" s="121" t="s">
        <v>14</v>
      </c>
      <c r="B22" s="108"/>
      <c r="C22" s="108"/>
      <c r="D22" s="109"/>
      <c r="E22" s="110"/>
      <c r="F22" s="110"/>
      <c r="G22" s="109"/>
      <c r="H22" s="109"/>
    </row>
    <row r="23" spans="1:11" ht="26.25" x14ac:dyDescent="0.25">
      <c r="A23" s="121"/>
      <c r="B23" s="108"/>
      <c r="C23" s="108"/>
      <c r="D23" s="109"/>
      <c r="E23" s="144" t="s">
        <v>72</v>
      </c>
      <c r="F23" s="116"/>
      <c r="G23" s="145" t="s">
        <v>33</v>
      </c>
      <c r="H23" s="146" t="s">
        <v>129</v>
      </c>
      <c r="I23" s="147"/>
    </row>
    <row r="24" spans="1:11" x14ac:dyDescent="0.25">
      <c r="A24" s="148" t="s">
        <v>41</v>
      </c>
      <c r="B24" s="148"/>
      <c r="C24" s="148"/>
      <c r="D24" s="149"/>
      <c r="E24" s="150">
        <f>+G26+E19</f>
        <v>479136.53</v>
      </c>
      <c r="F24" s="150"/>
      <c r="G24" s="125">
        <v>436883.75</v>
      </c>
      <c r="H24" s="150">
        <f>+E24-G24</f>
        <v>42252.780000000028</v>
      </c>
      <c r="I24" s="151"/>
      <c r="J24" s="151"/>
    </row>
    <row r="25" spans="1:11" x14ac:dyDescent="0.25">
      <c r="A25" s="148" t="s">
        <v>15</v>
      </c>
      <c r="B25" s="108"/>
      <c r="C25" s="108"/>
      <c r="D25" s="149"/>
      <c r="E25" s="150">
        <v>0</v>
      </c>
      <c r="F25" s="150"/>
      <c r="G25" s="129">
        <v>0</v>
      </c>
      <c r="H25" s="150">
        <f>+E25-G25</f>
        <v>0</v>
      </c>
      <c r="I25" s="151"/>
    </row>
    <row r="26" spans="1:11" x14ac:dyDescent="0.25">
      <c r="A26" s="152" t="s">
        <v>16</v>
      </c>
      <c r="B26" s="130"/>
      <c r="C26" s="130"/>
      <c r="D26" s="153"/>
      <c r="E26" s="154">
        <f>SUM(E24:E25)</f>
        <v>479136.53</v>
      </c>
      <c r="F26" s="154"/>
      <c r="G26" s="155">
        <f>SUM(G24:G25)</f>
        <v>436883.75</v>
      </c>
      <c r="H26" s="154">
        <f>+E26-G26</f>
        <v>42252.780000000028</v>
      </c>
      <c r="I26" s="156"/>
    </row>
    <row r="27" spans="1:11" x14ac:dyDescent="0.25">
      <c r="A27" s="148"/>
      <c r="B27" s="108"/>
      <c r="C27" s="108"/>
      <c r="D27" s="149"/>
      <c r="E27" s="150"/>
      <c r="F27" s="150"/>
      <c r="G27" s="129"/>
      <c r="H27" s="150"/>
      <c r="I27" s="151"/>
    </row>
    <row r="28" spans="1:11" x14ac:dyDescent="0.25">
      <c r="A28" s="148" t="s">
        <v>17</v>
      </c>
      <c r="B28" s="108"/>
      <c r="C28" s="108"/>
      <c r="D28" s="149"/>
      <c r="E28" s="150">
        <f>+E26</f>
        <v>479136.53</v>
      </c>
      <c r="F28" s="150"/>
      <c r="G28" s="157">
        <v>436883.75</v>
      </c>
      <c r="H28" s="150">
        <f>+E28-G28</f>
        <v>42252.780000000028</v>
      </c>
      <c r="I28" s="151"/>
    </row>
    <row r="29" spans="1:11" x14ac:dyDescent="0.25">
      <c r="A29" s="148" t="s">
        <v>18</v>
      </c>
      <c r="B29" s="108"/>
      <c r="C29" s="108"/>
      <c r="D29" s="149"/>
      <c r="E29" s="150">
        <v>0</v>
      </c>
      <c r="F29" s="150"/>
      <c r="G29" s="129">
        <v>0</v>
      </c>
      <c r="H29" s="150">
        <f>+E29-G29</f>
        <v>0</v>
      </c>
      <c r="I29" s="151"/>
    </row>
    <row r="30" spans="1:11" x14ac:dyDescent="0.25">
      <c r="A30" s="152" t="s">
        <v>19</v>
      </c>
      <c r="B30" s="130"/>
      <c r="C30" s="130"/>
      <c r="D30" s="153"/>
      <c r="E30" s="154">
        <f>SUM(E28:E29)</f>
        <v>479136.53</v>
      </c>
      <c r="F30" s="154"/>
      <c r="G30" s="158">
        <f>+G28+G29</f>
        <v>436883.75</v>
      </c>
      <c r="H30" s="154">
        <f>+E30-G30</f>
        <v>42252.780000000028</v>
      </c>
      <c r="I30" s="159"/>
    </row>
    <row r="31" spans="1:11" x14ac:dyDescent="0.25">
      <c r="A31" s="108"/>
      <c r="B31" s="108"/>
      <c r="C31" s="108"/>
      <c r="D31" s="160"/>
      <c r="E31" s="124"/>
      <c r="F31" s="124"/>
      <c r="G31" s="160"/>
      <c r="H31" s="160"/>
      <c r="I31" s="151"/>
    </row>
    <row r="32" spans="1:11" hidden="1" x14ac:dyDescent="0.25">
      <c r="A32" s="108" t="s">
        <v>29</v>
      </c>
      <c r="B32" s="108"/>
      <c r="C32" s="108"/>
      <c r="D32" s="160"/>
      <c r="E32" s="124" t="e">
        <f>+Bilag!#REF!</f>
        <v>#REF!</v>
      </c>
      <c r="F32" s="124"/>
      <c r="G32" s="160"/>
      <c r="H32" s="160"/>
      <c r="I32" s="151"/>
    </row>
    <row r="33" spans="1:8" hidden="1" x14ac:dyDescent="0.25">
      <c r="A33" s="121" t="s">
        <v>21</v>
      </c>
      <c r="B33" s="108"/>
      <c r="C33" s="108"/>
      <c r="D33" s="160"/>
      <c r="E33" s="124" t="e">
        <f>+E30-E32</f>
        <v>#REF!</v>
      </c>
      <c r="F33" s="124"/>
      <c r="G33" s="160"/>
      <c r="H33" s="160"/>
    </row>
    <row r="34" spans="1:8" x14ac:dyDescent="0.25">
      <c r="A34" s="121"/>
      <c r="B34" s="108"/>
      <c r="C34" s="108"/>
      <c r="D34" s="160"/>
      <c r="E34" s="124"/>
      <c r="F34" s="124"/>
      <c r="G34" s="160"/>
      <c r="H34" s="160"/>
    </row>
    <row r="35" spans="1:8" x14ac:dyDescent="0.25">
      <c r="A35" s="121"/>
      <c r="B35" s="108"/>
      <c r="C35" s="108"/>
      <c r="D35" s="160"/>
      <c r="E35" s="124"/>
      <c r="F35" s="124"/>
      <c r="G35" s="160"/>
      <c r="H35" s="160"/>
    </row>
    <row r="36" spans="1:8" x14ac:dyDescent="0.25">
      <c r="A36" s="161" t="s">
        <v>23</v>
      </c>
      <c r="B36" s="108"/>
      <c r="C36" s="108"/>
      <c r="D36" s="160"/>
      <c r="E36" s="124"/>
      <c r="F36" s="124"/>
      <c r="G36" s="160"/>
      <c r="H36" s="160"/>
    </row>
    <row r="37" spans="1:8" x14ac:dyDescent="0.25">
      <c r="A37" s="161"/>
      <c r="B37" s="108"/>
      <c r="C37" s="108"/>
      <c r="D37" s="160"/>
      <c r="E37" s="124"/>
      <c r="F37" s="124"/>
      <c r="G37" s="160"/>
      <c r="H37" s="160"/>
    </row>
    <row r="38" spans="1:8" x14ac:dyDescent="0.25">
      <c r="A38" s="161"/>
      <c r="B38" s="108"/>
      <c r="C38" s="108"/>
      <c r="D38" s="160"/>
      <c r="E38" s="124"/>
      <c r="F38" s="124"/>
      <c r="G38" s="160"/>
      <c r="H38" s="160"/>
    </row>
    <row r="39" spans="1:8" x14ac:dyDescent="0.25">
      <c r="A39" s="161"/>
      <c r="B39" s="108"/>
      <c r="C39" s="108"/>
      <c r="D39" s="160"/>
      <c r="E39" s="124"/>
      <c r="F39" s="124"/>
      <c r="G39" s="160"/>
      <c r="H39" s="160"/>
    </row>
    <row r="40" spans="1:8" x14ac:dyDescent="0.25">
      <c r="A40" s="108"/>
      <c r="B40" s="108"/>
      <c r="C40" s="108"/>
      <c r="D40" s="160"/>
      <c r="E40" s="124"/>
      <c r="F40" s="124"/>
      <c r="G40" s="160"/>
      <c r="H40" s="160"/>
    </row>
    <row r="41" spans="1:8" x14ac:dyDescent="0.25">
      <c r="A41" s="162" t="s">
        <v>96</v>
      </c>
      <c r="B41" s="162"/>
      <c r="C41" s="108"/>
      <c r="D41" s="160"/>
      <c r="E41" s="162" t="s">
        <v>35</v>
      </c>
      <c r="F41" s="162"/>
      <c r="G41" s="163"/>
      <c r="H41" s="160"/>
    </row>
    <row r="42" spans="1:8" x14ac:dyDescent="0.25">
      <c r="A42" s="114" t="s">
        <v>151</v>
      </c>
      <c r="B42" s="108"/>
      <c r="C42" s="108"/>
      <c r="D42" s="160"/>
      <c r="E42" s="114" t="s">
        <v>22</v>
      </c>
      <c r="F42" s="114"/>
      <c r="G42" s="160"/>
      <c r="H42" s="160"/>
    </row>
    <row r="43" spans="1:8" x14ac:dyDescent="0.25">
      <c r="A43" s="108"/>
      <c r="B43" s="108"/>
      <c r="C43" s="108"/>
      <c r="D43" s="160"/>
      <c r="E43" s="124"/>
      <c r="F43" s="124"/>
      <c r="G43" s="160"/>
      <c r="H43" s="160"/>
    </row>
    <row r="44" spans="1:8" x14ac:dyDescent="0.25">
      <c r="A44" s="108"/>
      <c r="B44" s="108"/>
      <c r="C44" s="108"/>
      <c r="D44" s="160"/>
      <c r="E44" s="124"/>
      <c r="F44" s="124"/>
      <c r="G44" s="160"/>
      <c r="H44" s="160"/>
    </row>
    <row r="45" spans="1:8" x14ac:dyDescent="0.25">
      <c r="A45" s="108"/>
      <c r="B45" s="108"/>
      <c r="C45" s="108"/>
      <c r="D45" s="160"/>
      <c r="E45" s="124"/>
      <c r="F45" s="124"/>
      <c r="G45" s="160"/>
      <c r="H45" s="160"/>
    </row>
    <row r="46" spans="1:8" x14ac:dyDescent="0.25">
      <c r="A46" s="108"/>
      <c r="B46" s="108"/>
      <c r="C46" s="108"/>
      <c r="D46" s="160"/>
      <c r="E46" s="124"/>
      <c r="F46" s="124"/>
      <c r="G46" s="160"/>
      <c r="H46" s="160"/>
    </row>
    <row r="47" spans="1:8" x14ac:dyDescent="0.25">
      <c r="A47" s="108"/>
      <c r="B47" s="108"/>
      <c r="C47" s="108"/>
      <c r="D47" s="160"/>
      <c r="E47" s="124"/>
      <c r="F47" s="124"/>
      <c r="G47" s="160"/>
      <c r="H47" s="160"/>
    </row>
    <row r="48" spans="1:8" x14ac:dyDescent="0.25">
      <c r="A48" s="108"/>
      <c r="B48" s="108"/>
      <c r="C48" s="108"/>
      <c r="D48" s="160"/>
      <c r="E48" s="124"/>
      <c r="F48" s="124"/>
      <c r="G48" s="160"/>
      <c r="H48" s="160"/>
    </row>
    <row r="49" spans="1:8" x14ac:dyDescent="0.25">
      <c r="A49" s="108"/>
      <c r="B49" s="108"/>
      <c r="C49" s="108"/>
      <c r="D49" s="160"/>
      <c r="E49" s="124"/>
      <c r="F49" s="124"/>
      <c r="G49" s="160"/>
      <c r="H49" s="160"/>
    </row>
    <row r="50" spans="1:8" x14ac:dyDescent="0.25">
      <c r="D50" s="164"/>
      <c r="E50" s="165"/>
      <c r="F50" s="165"/>
      <c r="G50" s="164"/>
      <c r="H50" s="164"/>
    </row>
    <row r="51" spans="1:8" x14ac:dyDescent="0.25">
      <c r="D51" s="164"/>
      <c r="E51" s="165"/>
      <c r="F51" s="165"/>
      <c r="G51" s="164"/>
      <c r="H51" s="16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topLeftCell="A22" zoomScale="80" zoomScaleNormal="80" workbookViewId="0">
      <selection activeCell="B52" sqref="B52"/>
    </sheetView>
  </sheetViews>
  <sheetFormatPr baseColWidth="10" defaultRowHeight="15" x14ac:dyDescent="0.25"/>
  <cols>
    <col min="1" max="1" width="15" bestFit="1" customWidth="1"/>
    <col min="2" max="2" width="65.7109375" style="66" customWidth="1"/>
    <col min="3" max="3" width="17.42578125" style="6" customWidth="1"/>
    <col min="4" max="4" width="12.7109375" style="73" customWidth="1"/>
    <col min="5" max="5" width="12" bestFit="1" customWidth="1"/>
    <col min="6" max="6" width="13.140625" bestFit="1" customWidth="1"/>
  </cols>
  <sheetData>
    <row r="1" spans="1:4" x14ac:dyDescent="0.25">
      <c r="A1" s="37" t="s">
        <v>89</v>
      </c>
      <c r="B1" s="106" t="s">
        <v>90</v>
      </c>
      <c r="C1" s="5"/>
      <c r="D1" s="72"/>
    </row>
    <row r="2" spans="1:4" x14ac:dyDescent="0.25">
      <c r="A2" s="40" t="s">
        <v>91</v>
      </c>
      <c r="B2" s="40" t="s">
        <v>56</v>
      </c>
    </row>
    <row r="3" spans="1:4" x14ac:dyDescent="0.25">
      <c r="A3" s="100"/>
      <c r="B3" s="100"/>
    </row>
    <row r="4" spans="1:4" x14ac:dyDescent="0.25">
      <c r="A4" s="37" t="s">
        <v>1</v>
      </c>
      <c r="B4" s="67" t="s">
        <v>60</v>
      </c>
      <c r="C4" s="5"/>
      <c r="D4" s="72" t="s">
        <v>3</v>
      </c>
    </row>
    <row r="5" spans="1:4" x14ac:dyDescent="0.25">
      <c r="A5" s="40">
        <f>+A98</f>
        <v>42688</v>
      </c>
      <c r="B5" s="40" t="str">
        <f>+B98</f>
        <v>Kontantinnskudd KULuka, Stian Kristoffersen</v>
      </c>
      <c r="C5" s="65">
        <f>+E98</f>
        <v>59196</v>
      </c>
      <c r="D5" s="40" t="str">
        <f>+F98</f>
        <v>Bilag 12</v>
      </c>
    </row>
    <row r="6" spans="1:4" x14ac:dyDescent="0.25">
      <c r="A6" s="40">
        <f>+A99</f>
        <v>42688</v>
      </c>
      <c r="B6" s="40" t="str">
        <f>+B99</f>
        <v>Pant, Ronny Solbakken</v>
      </c>
      <c r="C6" s="65">
        <f>+E99</f>
        <v>81</v>
      </c>
      <c r="D6" s="40" t="str">
        <f>+F99</f>
        <v>Bilag 13</v>
      </c>
    </row>
    <row r="7" spans="1:4" x14ac:dyDescent="0.25">
      <c r="A7" s="40">
        <f t="shared" ref="A7:B10" si="0">+A94</f>
        <v>42676</v>
      </c>
      <c r="B7" s="40" t="str">
        <f t="shared" si="0"/>
        <v>Vipps, KULuka</v>
      </c>
      <c r="C7" s="65">
        <f>+E94</f>
        <v>1686.74</v>
      </c>
      <c r="D7" s="40" t="str">
        <f>+F94</f>
        <v>Bilag 8</v>
      </c>
    </row>
    <row r="8" spans="1:4" x14ac:dyDescent="0.25">
      <c r="A8" s="40">
        <f t="shared" si="0"/>
        <v>42678</v>
      </c>
      <c r="B8" s="40" t="str">
        <f t="shared" si="0"/>
        <v>Vipps, KULuka</v>
      </c>
      <c r="C8" s="65">
        <f t="shared" ref="C8:D10" si="1">+E95</f>
        <v>1155.3599999999999</v>
      </c>
      <c r="D8" s="40" t="str">
        <f t="shared" si="1"/>
        <v>Bilag 9</v>
      </c>
    </row>
    <row r="9" spans="1:4" x14ac:dyDescent="0.25">
      <c r="A9" s="40">
        <f t="shared" si="0"/>
        <v>42683</v>
      </c>
      <c r="B9" s="40" t="str">
        <f t="shared" si="0"/>
        <v>Vipps, KULuka</v>
      </c>
      <c r="C9" s="65">
        <f t="shared" si="1"/>
        <v>3529.48</v>
      </c>
      <c r="D9" s="40" t="str">
        <f t="shared" si="1"/>
        <v>Bilag 10</v>
      </c>
    </row>
    <row r="10" spans="1:4" x14ac:dyDescent="0.25">
      <c r="A10" s="40">
        <f t="shared" si="0"/>
        <v>42685</v>
      </c>
      <c r="B10" s="40" t="str">
        <f t="shared" si="0"/>
        <v>Vipps, KULuka</v>
      </c>
      <c r="C10" s="65">
        <f t="shared" si="1"/>
        <v>609.37</v>
      </c>
      <c r="D10" s="40" t="str">
        <f t="shared" si="1"/>
        <v>Bilag 11</v>
      </c>
    </row>
    <row r="11" spans="1:4" x14ac:dyDescent="0.25">
      <c r="A11" s="8"/>
      <c r="B11" s="67" t="s">
        <v>5</v>
      </c>
      <c r="C11" s="5">
        <f>SUM(C5:C10)</f>
        <v>66257.95</v>
      </c>
      <c r="D11" s="72"/>
    </row>
    <row r="12" spans="1:4" x14ac:dyDescent="0.25">
      <c r="A12" s="8"/>
      <c r="B12" s="67"/>
      <c r="C12" s="5"/>
      <c r="D12" s="72"/>
    </row>
    <row r="13" spans="1:4" x14ac:dyDescent="0.25">
      <c r="A13" s="8"/>
      <c r="B13" s="67" t="s">
        <v>61</v>
      </c>
      <c r="C13" s="5"/>
      <c r="D13" s="72"/>
    </row>
    <row r="14" spans="1:4" x14ac:dyDescent="0.25">
      <c r="A14" s="40">
        <f>+A91</f>
        <v>42671</v>
      </c>
      <c r="B14" s="40" t="str">
        <f>+B91</f>
        <v>Veksel til KULuka, Stian Kristoffersen</v>
      </c>
      <c r="C14" s="65">
        <f>+E91</f>
        <v>-8550</v>
      </c>
      <c r="D14" s="40" t="str">
        <f>+F91</f>
        <v>Bilag 6</v>
      </c>
    </row>
    <row r="15" spans="1:4" x14ac:dyDescent="0.25">
      <c r="A15" s="40">
        <f>+A106</f>
        <v>42718</v>
      </c>
      <c r="B15" s="40" t="str">
        <f>+B106</f>
        <v>Mat KULuka, Coop Øst</v>
      </c>
      <c r="C15" s="65">
        <f>+E106</f>
        <v>-21291.29</v>
      </c>
      <c r="D15" s="40" t="str">
        <f>+F106</f>
        <v>Bilag 19</v>
      </c>
    </row>
    <row r="16" spans="1:4" x14ac:dyDescent="0.25">
      <c r="A16" s="40">
        <f t="shared" ref="A16:B18" si="2">+A100</f>
        <v>42688</v>
      </c>
      <c r="B16" s="40" t="str">
        <f t="shared" si="2"/>
        <v>Popcorn Compagniet</v>
      </c>
      <c r="C16" s="65">
        <f t="shared" ref="C16:D18" si="3">+E100</f>
        <v>-969.95</v>
      </c>
      <c r="D16" s="40" t="str">
        <f t="shared" si="3"/>
        <v>Bilag 14</v>
      </c>
    </row>
    <row r="17" spans="1:4" x14ac:dyDescent="0.25">
      <c r="A17" s="40">
        <f t="shared" si="2"/>
        <v>42688</v>
      </c>
      <c r="B17" s="40" t="str">
        <f t="shared" si="2"/>
        <v>Popcorn Compagniet</v>
      </c>
      <c r="C17" s="65">
        <f t="shared" si="3"/>
        <v>-1803.85</v>
      </c>
      <c r="D17" s="40" t="str">
        <f t="shared" si="3"/>
        <v>Bilag 15</v>
      </c>
    </row>
    <row r="18" spans="1:4" x14ac:dyDescent="0.25">
      <c r="A18" s="40">
        <f t="shared" si="2"/>
        <v>42688</v>
      </c>
      <c r="B18" s="40" t="str">
        <f t="shared" si="2"/>
        <v>Utlegg, Merethe Bryn</v>
      </c>
      <c r="C18" s="65">
        <f t="shared" si="3"/>
        <v>-127.7</v>
      </c>
      <c r="D18" s="40" t="str">
        <f t="shared" si="3"/>
        <v>Bilag 16</v>
      </c>
    </row>
    <row r="19" spans="1:4" x14ac:dyDescent="0.25">
      <c r="A19" s="7"/>
      <c r="B19" s="67" t="s">
        <v>6</v>
      </c>
      <c r="C19" s="5">
        <f>SUM(C14:C18)</f>
        <v>-32742.79</v>
      </c>
      <c r="D19" s="72"/>
    </row>
    <row r="20" spans="1:4" ht="15.75" x14ac:dyDescent="0.25">
      <c r="A20" s="4"/>
      <c r="B20" s="87" t="s">
        <v>59</v>
      </c>
      <c r="C20" s="13">
        <f>+C11+C19</f>
        <v>33515.159999999996</v>
      </c>
      <c r="D20" s="74"/>
    </row>
    <row r="21" spans="1:4" x14ac:dyDescent="0.25">
      <c r="A21" s="7"/>
      <c r="C21" s="10"/>
    </row>
    <row r="22" spans="1:4" x14ac:dyDescent="0.25">
      <c r="A22" s="37" t="s">
        <v>1</v>
      </c>
      <c r="B22" s="67" t="s">
        <v>62</v>
      </c>
      <c r="C22" s="5"/>
      <c r="D22" s="72" t="s">
        <v>3</v>
      </c>
    </row>
    <row r="23" spans="1:4" x14ac:dyDescent="0.25">
      <c r="A23" s="79"/>
      <c r="B23" s="85"/>
      <c r="C23" s="80"/>
      <c r="D23" s="85"/>
    </row>
    <row r="24" spans="1:4" x14ac:dyDescent="0.25">
      <c r="A24" s="8"/>
      <c r="B24" s="67" t="s">
        <v>5</v>
      </c>
      <c r="C24" s="5">
        <f>SUM(C23:C23)</f>
        <v>0</v>
      </c>
      <c r="D24" s="72"/>
    </row>
    <row r="25" spans="1:4" x14ac:dyDescent="0.25">
      <c r="A25" s="8"/>
      <c r="B25" s="67"/>
      <c r="C25" s="5"/>
      <c r="D25" s="72"/>
    </row>
    <row r="26" spans="1:4" x14ac:dyDescent="0.25">
      <c r="A26" s="8"/>
      <c r="B26" s="67" t="s">
        <v>63</v>
      </c>
      <c r="C26" s="5"/>
      <c r="D26" s="72"/>
    </row>
    <row r="27" spans="1:4" x14ac:dyDescent="0.25">
      <c r="A27" s="81"/>
      <c r="B27" s="83"/>
      <c r="C27" s="82"/>
      <c r="D27" s="83"/>
    </row>
    <row r="28" spans="1:4" x14ac:dyDescent="0.25">
      <c r="A28" s="7"/>
      <c r="B28" s="67" t="s">
        <v>6</v>
      </c>
      <c r="C28" s="5">
        <f>SUM(C27:C27)</f>
        <v>0</v>
      </c>
      <c r="D28" s="72"/>
    </row>
    <row r="29" spans="1:4" ht="15.75" x14ac:dyDescent="0.25">
      <c r="A29" s="4"/>
      <c r="B29" s="87" t="s">
        <v>46</v>
      </c>
      <c r="C29" s="13">
        <f>+C24+C28</f>
        <v>0</v>
      </c>
      <c r="D29" s="74"/>
    </row>
    <row r="30" spans="1:4" x14ac:dyDescent="0.25">
      <c r="A30" s="7"/>
      <c r="C30" s="10"/>
    </row>
    <row r="31" spans="1:4" x14ac:dyDescent="0.25">
      <c r="A31" s="7"/>
      <c r="B31" s="66" t="s">
        <v>64</v>
      </c>
      <c r="C31" s="10">
        <v>0</v>
      </c>
    </row>
    <row r="32" spans="1:4" ht="15.75" x14ac:dyDescent="0.25">
      <c r="A32" s="4"/>
      <c r="B32" s="87" t="s">
        <v>38</v>
      </c>
      <c r="C32" s="13">
        <f>+C31</f>
        <v>0</v>
      </c>
      <c r="D32" s="74"/>
    </row>
    <row r="33" spans="1:4" s="32" customFormat="1" ht="15.75" x14ac:dyDescent="0.25">
      <c r="B33" s="88"/>
      <c r="C33" s="61"/>
      <c r="D33" s="75"/>
    </row>
    <row r="34" spans="1:4" x14ac:dyDescent="0.25">
      <c r="A34" s="38" t="s">
        <v>1</v>
      </c>
      <c r="B34" s="89" t="s">
        <v>26</v>
      </c>
      <c r="C34" s="39"/>
      <c r="D34" s="76" t="s">
        <v>3</v>
      </c>
    </row>
    <row r="35" spans="1:4" x14ac:dyDescent="0.25">
      <c r="A35" s="43">
        <f>+A105</f>
        <v>42716</v>
      </c>
      <c r="B35" s="43" t="str">
        <f>+B105</f>
        <v>Tilbakebetaling Hvite Busser, Hege Anita Evensen</v>
      </c>
      <c r="C35" s="78">
        <f>+E105</f>
        <v>13500</v>
      </c>
      <c r="D35" s="43" t="str">
        <f>+F105</f>
        <v>Bilag 18</v>
      </c>
    </row>
    <row r="36" spans="1:4" x14ac:dyDescent="0.25">
      <c r="A36" s="43"/>
      <c r="B36" s="90" t="s">
        <v>66</v>
      </c>
      <c r="C36" s="63">
        <f>SUM(C35)</f>
        <v>13500</v>
      </c>
      <c r="D36" s="77"/>
    </row>
    <row r="37" spans="1:4" x14ac:dyDescent="0.25">
      <c r="A37" s="43"/>
      <c r="B37" s="84"/>
      <c r="C37" s="44"/>
      <c r="D37" s="77"/>
    </row>
    <row r="38" spans="1:4" x14ac:dyDescent="0.25">
      <c r="A38" s="43"/>
      <c r="B38" s="90" t="s">
        <v>53</v>
      </c>
      <c r="C38" s="44"/>
      <c r="D38" s="77"/>
    </row>
    <row r="39" spans="1:4" x14ac:dyDescent="0.25">
      <c r="A39" s="43"/>
      <c r="B39" s="66" t="s">
        <v>49</v>
      </c>
      <c r="C39" s="44">
        <v>0</v>
      </c>
      <c r="D39" s="77"/>
    </row>
    <row r="40" spans="1:4" x14ac:dyDescent="0.25">
      <c r="A40" s="43">
        <f>+A86</f>
        <v>42613</v>
      </c>
      <c r="B40" s="43" t="str">
        <f>+B86</f>
        <v>Tilskudd for Prøysentur, Bøler Skole</v>
      </c>
      <c r="C40" s="78">
        <f>+E86</f>
        <v>-5000</v>
      </c>
      <c r="D40" s="43" t="str">
        <f>+F86</f>
        <v>Bilag 3</v>
      </c>
    </row>
    <row r="41" spans="1:4" x14ac:dyDescent="0.25">
      <c r="A41" s="43">
        <f>+A85</f>
        <v>42613</v>
      </c>
      <c r="B41" s="43" t="str">
        <f>+B85</f>
        <v>Tilskudd til Hvite Busser, Hege Anita Evensen</v>
      </c>
      <c r="C41" s="78">
        <f>+E85</f>
        <v>-27000</v>
      </c>
      <c r="D41" s="43" t="str">
        <f>+F85</f>
        <v>Bilag 2</v>
      </c>
    </row>
    <row r="42" spans="1:4" x14ac:dyDescent="0.25">
      <c r="A42" s="43"/>
      <c r="B42" s="66" t="s">
        <v>50</v>
      </c>
      <c r="C42" s="44">
        <v>0</v>
      </c>
      <c r="D42" s="77"/>
    </row>
    <row r="43" spans="1:4" x14ac:dyDescent="0.25">
      <c r="A43" s="7"/>
      <c r="B43" s="67" t="s">
        <v>65</v>
      </c>
      <c r="C43" s="62">
        <f>SUM(C39:C42)</f>
        <v>-32000</v>
      </c>
    </row>
    <row r="44" spans="1:4" ht="15.75" x14ac:dyDescent="0.25">
      <c r="A44" s="4"/>
      <c r="B44" s="87" t="s">
        <v>53</v>
      </c>
      <c r="C44" s="13">
        <f>+C36+C43</f>
        <v>-18500</v>
      </c>
      <c r="D44" s="74"/>
    </row>
    <row r="45" spans="1:4" x14ac:dyDescent="0.25">
      <c r="A45" s="43"/>
      <c r="C45" s="10"/>
    </row>
    <row r="46" spans="1:4" x14ac:dyDescent="0.25">
      <c r="A46" s="43">
        <f>+A114</f>
        <v>42795</v>
      </c>
      <c r="B46" s="71" t="str">
        <f>+B114</f>
        <v>Utlegg Foreldreforedrag, Ine Martinsen</v>
      </c>
      <c r="C46" s="65">
        <f>+E114</f>
        <v>-1019.19</v>
      </c>
      <c r="D46" s="71" t="str">
        <f>+F114</f>
        <v>Bilag 24</v>
      </c>
    </row>
    <row r="47" spans="1:4" x14ac:dyDescent="0.25">
      <c r="A47" s="43">
        <f>+A115</f>
        <v>42804</v>
      </c>
      <c r="B47" s="71" t="str">
        <f>+B115</f>
        <v>Foreldreforedrag, Kristin Oudmayer</v>
      </c>
      <c r="C47" s="65">
        <f>+E115</f>
        <v>-12000</v>
      </c>
      <c r="D47" s="71" t="str">
        <f>+F115</f>
        <v>Bilag 25</v>
      </c>
    </row>
    <row r="48" spans="1:4" x14ac:dyDescent="0.25">
      <c r="A48" s="43">
        <f>+A118</f>
        <v>42836</v>
      </c>
      <c r="B48" s="71" t="str">
        <f>+B118</f>
        <v>Hoppetau, Gm Sport AS</v>
      </c>
      <c r="C48" s="65">
        <f>+E118</f>
        <v>-5000</v>
      </c>
      <c r="D48" s="71" t="str">
        <f>+F118</f>
        <v>Bilag 27</v>
      </c>
    </row>
    <row r="49" spans="1:4" ht="15.75" x14ac:dyDescent="0.25">
      <c r="A49" s="4"/>
      <c r="B49" s="87" t="s">
        <v>12</v>
      </c>
      <c r="C49" s="13">
        <f>SUM(C46:C48)</f>
        <v>-18019.190000000002</v>
      </c>
      <c r="D49" s="74"/>
    </row>
    <row r="50" spans="1:4" s="32" customFormat="1" ht="15.75" x14ac:dyDescent="0.25">
      <c r="B50" s="88"/>
      <c r="C50" s="61"/>
      <c r="D50" s="75"/>
    </row>
    <row r="51" spans="1:4" x14ac:dyDescent="0.25">
      <c r="A51" s="43">
        <f>+A121</f>
        <v>42860</v>
      </c>
      <c r="B51" s="71" t="str">
        <f>+B121</f>
        <v>Tilskudd til utegruppa fra Bøler Basket</v>
      </c>
      <c r="C51" s="65">
        <f>+E121</f>
        <v>45000</v>
      </c>
      <c r="D51" s="71" t="str">
        <f>+F121</f>
        <v>Bilag 29</v>
      </c>
    </row>
    <row r="52" spans="1:4" x14ac:dyDescent="0.25">
      <c r="A52" s="43">
        <f>+A126</f>
        <v>42933</v>
      </c>
      <c r="B52" s="71" t="str">
        <f>+B126</f>
        <v>Overført fra avsluttet kontonr. 1208.34.55819 Hege Anita Evensen</v>
      </c>
      <c r="C52" s="65">
        <f>+E126</f>
        <v>548.79</v>
      </c>
      <c r="D52" s="65" t="str">
        <f>+F126</f>
        <v>Bilag 32</v>
      </c>
    </row>
    <row r="53" spans="1:4" ht="15.75" x14ac:dyDescent="0.25">
      <c r="A53" s="4"/>
      <c r="B53" s="87" t="s">
        <v>37</v>
      </c>
      <c r="C53" s="13">
        <f>SUM(C51:C52)</f>
        <v>45548.79</v>
      </c>
      <c r="D53" s="74"/>
    </row>
    <row r="54" spans="1:4" s="32" customFormat="1" ht="15.75" x14ac:dyDescent="0.25">
      <c r="B54" s="88"/>
      <c r="C54" s="61"/>
      <c r="D54" s="75"/>
    </row>
    <row r="55" spans="1:4" x14ac:dyDescent="0.25">
      <c r="A55" s="7">
        <f>+A107</f>
        <v>42734</v>
      </c>
      <c r="B55" s="7" t="str">
        <f>+B107</f>
        <v>Renter</v>
      </c>
      <c r="C55" s="45">
        <f>+E107</f>
        <v>311.27</v>
      </c>
      <c r="D55" s="7" t="str">
        <f>+F107</f>
        <v>Bilag 20</v>
      </c>
    </row>
    <row r="56" spans="1:4" x14ac:dyDescent="0.25">
      <c r="A56" s="7"/>
      <c r="B56" s="67" t="s">
        <v>54</v>
      </c>
      <c r="C56" s="62">
        <f>SUM(C55:C55)</f>
        <v>311.27</v>
      </c>
      <c r="D56" s="66"/>
    </row>
    <row r="57" spans="1:4" x14ac:dyDescent="0.25">
      <c r="A57" s="7"/>
      <c r="B57" s="67"/>
      <c r="C57" s="62"/>
      <c r="D57" s="66"/>
    </row>
    <row r="58" spans="1:4" x14ac:dyDescent="0.25">
      <c r="A58" s="7">
        <f>+A84</f>
        <v>42583</v>
      </c>
      <c r="B58" s="7" t="str">
        <f>+B84</f>
        <v>DNB Connect</v>
      </c>
      <c r="C58" s="45">
        <f>+E84</f>
        <v>-44</v>
      </c>
      <c r="D58" s="7" t="str">
        <f>+F84</f>
        <v>Bilag 1</v>
      </c>
    </row>
    <row r="59" spans="1:4" x14ac:dyDescent="0.25">
      <c r="A59" s="7">
        <f>+A88</f>
        <v>42614</v>
      </c>
      <c r="B59" s="7" t="str">
        <f>+B88</f>
        <v>DNB Connect</v>
      </c>
      <c r="C59" s="45">
        <f>+E88</f>
        <v>-61</v>
      </c>
      <c r="D59" s="7" t="str">
        <f>+F88</f>
        <v>Bilag 4</v>
      </c>
    </row>
    <row r="60" spans="1:4" x14ac:dyDescent="0.25">
      <c r="A60" s="7">
        <f>+A90</f>
        <v>42646</v>
      </c>
      <c r="B60" s="7" t="str">
        <f>+B90</f>
        <v>DNB Connect</v>
      </c>
      <c r="C60" s="45">
        <f>+E90</f>
        <v>-44</v>
      </c>
      <c r="D60" s="7" t="str">
        <f>+F90</f>
        <v>Bilag 5</v>
      </c>
    </row>
    <row r="61" spans="1:4" x14ac:dyDescent="0.25">
      <c r="A61" s="7">
        <f>+A93</f>
        <v>42675</v>
      </c>
      <c r="B61" s="7" t="str">
        <f>+B93</f>
        <v>DNB Connect</v>
      </c>
      <c r="C61" s="45">
        <f>+E93</f>
        <v>-52.5</v>
      </c>
      <c r="D61" s="7" t="str">
        <f>+F93</f>
        <v>Bilag 7</v>
      </c>
    </row>
    <row r="62" spans="1:4" x14ac:dyDescent="0.25">
      <c r="A62" s="7">
        <f>+A104</f>
        <v>42705</v>
      </c>
      <c r="B62" s="7" t="str">
        <f>+B104</f>
        <v>DNB Connect</v>
      </c>
      <c r="C62" s="45">
        <f>+E104</f>
        <v>-63</v>
      </c>
      <c r="D62" s="7" t="str">
        <f>+F104</f>
        <v>Bilag 17</v>
      </c>
    </row>
    <row r="63" spans="1:4" x14ac:dyDescent="0.25">
      <c r="A63" s="7">
        <f>+A109</f>
        <v>42737</v>
      </c>
      <c r="B63" s="7" t="str">
        <f>+B109</f>
        <v>DNB Connect</v>
      </c>
      <c r="C63" s="45">
        <f>+E109</f>
        <v>-49.25</v>
      </c>
      <c r="D63" s="7" t="str">
        <f>+F109</f>
        <v>Bilag 21</v>
      </c>
    </row>
    <row r="64" spans="1:4" x14ac:dyDescent="0.25">
      <c r="A64" s="7">
        <f>+A111</f>
        <v>42767</v>
      </c>
      <c r="B64" s="7" t="str">
        <f>+B111</f>
        <v>DNB Connect</v>
      </c>
      <c r="C64" s="45">
        <f>+E111</f>
        <v>-44</v>
      </c>
      <c r="D64" s="7" t="str">
        <f>+F111</f>
        <v>Bilag 22</v>
      </c>
    </row>
    <row r="65" spans="1:4" x14ac:dyDescent="0.25">
      <c r="A65" s="7">
        <f>+A113</f>
        <v>42795</v>
      </c>
      <c r="B65" s="7" t="str">
        <f>+B113</f>
        <v>DNB Connect</v>
      </c>
      <c r="C65" s="45">
        <f>+E113</f>
        <v>-44</v>
      </c>
      <c r="D65" s="7" t="str">
        <f>+F113</f>
        <v>Bilag 23</v>
      </c>
    </row>
    <row r="66" spans="1:4" x14ac:dyDescent="0.25">
      <c r="A66" s="7">
        <f>+A117</f>
        <v>42830</v>
      </c>
      <c r="B66" s="7" t="str">
        <f>+B117</f>
        <v>DNB Connect</v>
      </c>
      <c r="C66" s="45">
        <f>+E117</f>
        <v>-61</v>
      </c>
      <c r="D66" s="7" t="str">
        <f>+F117</f>
        <v>Bilag 26</v>
      </c>
    </row>
    <row r="67" spans="1:4" x14ac:dyDescent="0.25">
      <c r="A67" s="7">
        <f>+A120</f>
        <v>42857</v>
      </c>
      <c r="B67" s="7" t="str">
        <f>+B120</f>
        <v>DNB Connect</v>
      </c>
      <c r="C67" s="45">
        <f>+E120</f>
        <v>-52.5</v>
      </c>
      <c r="D67" s="7" t="str">
        <f>+F120</f>
        <v>Bilag 28</v>
      </c>
    </row>
    <row r="68" spans="1:4" x14ac:dyDescent="0.25">
      <c r="A68" s="7">
        <f>+A123</f>
        <v>42887</v>
      </c>
      <c r="B68" s="7" t="str">
        <f>+B123</f>
        <v>DNB Connect</v>
      </c>
      <c r="C68" s="45">
        <f>+E123</f>
        <v>-44</v>
      </c>
      <c r="D68" s="45" t="str">
        <f>+F123</f>
        <v>Bilag 30</v>
      </c>
    </row>
    <row r="69" spans="1:4" x14ac:dyDescent="0.25">
      <c r="A69" s="7">
        <f>+A125</f>
        <v>42919</v>
      </c>
      <c r="B69" s="7" t="str">
        <f>+B125</f>
        <v>DNB Connect</v>
      </c>
      <c r="C69" s="45">
        <f>+E125</f>
        <v>-44</v>
      </c>
      <c r="D69" s="45" t="str">
        <f>+F125</f>
        <v>Bilag 31</v>
      </c>
    </row>
    <row r="70" spans="1:4" x14ac:dyDescent="0.25">
      <c r="A70" s="7"/>
      <c r="B70" s="67" t="s">
        <v>40</v>
      </c>
      <c r="C70" s="62">
        <f>SUM(C58:C69)</f>
        <v>-603.25</v>
      </c>
      <c r="D70" s="66"/>
    </row>
    <row r="71" spans="1:4" ht="15.75" x14ac:dyDescent="0.25">
      <c r="A71" s="4"/>
      <c r="B71" s="87" t="s">
        <v>27</v>
      </c>
      <c r="C71" s="13">
        <f>+C56+C70</f>
        <v>-291.98</v>
      </c>
      <c r="D71" s="74"/>
    </row>
    <row r="72" spans="1:4" x14ac:dyDescent="0.25">
      <c r="A72" s="7"/>
      <c r="C72" s="10"/>
    </row>
    <row r="73" spans="1:4" x14ac:dyDescent="0.25">
      <c r="A73" s="7"/>
      <c r="C73" s="10"/>
    </row>
    <row r="74" spans="1:4" x14ac:dyDescent="0.25">
      <c r="A74" s="7"/>
      <c r="C74" s="10"/>
    </row>
    <row r="75" spans="1:4" x14ac:dyDescent="0.25">
      <c r="A75" s="7"/>
      <c r="C75" s="10"/>
    </row>
    <row r="76" spans="1:4" x14ac:dyDescent="0.25">
      <c r="A76" s="7"/>
      <c r="C76" s="10"/>
    </row>
    <row r="77" spans="1:4" x14ac:dyDescent="0.25">
      <c r="A77" s="7"/>
      <c r="C77" s="10"/>
    </row>
    <row r="78" spans="1:4" x14ac:dyDescent="0.25">
      <c r="A78" s="7"/>
      <c r="C78" s="10"/>
    </row>
    <row r="79" spans="1:4" x14ac:dyDescent="0.25">
      <c r="A79" s="7"/>
      <c r="C79" s="10"/>
    </row>
    <row r="80" spans="1:4" x14ac:dyDescent="0.25">
      <c r="A80" s="7"/>
      <c r="C80" s="10"/>
    </row>
    <row r="81" spans="1:6" ht="15.75" thickBot="1" x14ac:dyDescent="0.3">
      <c r="B81" s="67" t="s">
        <v>7</v>
      </c>
    </row>
    <row r="82" spans="1:6" ht="15.75" thickBot="1" x14ac:dyDescent="0.3">
      <c r="A82" s="41"/>
      <c r="B82" s="69" t="s">
        <v>73</v>
      </c>
      <c r="C82" s="69"/>
      <c r="D82" s="69"/>
      <c r="E82" s="42">
        <v>436883.75</v>
      </c>
      <c r="F82" s="69" t="s">
        <v>4</v>
      </c>
    </row>
    <row r="83" spans="1:6" x14ac:dyDescent="0.25">
      <c r="A83" s="7"/>
      <c r="C83" s="66"/>
      <c r="D83" s="66"/>
      <c r="E83" s="11"/>
      <c r="F83" s="66"/>
    </row>
    <row r="84" spans="1:6" x14ac:dyDescent="0.25">
      <c r="A84" s="7">
        <v>42583</v>
      </c>
      <c r="B84" s="68" t="s">
        <v>93</v>
      </c>
      <c r="C84" s="68"/>
      <c r="D84" s="68"/>
      <c r="E84" s="6">
        <v>-44</v>
      </c>
      <c r="F84" s="66" t="s">
        <v>106</v>
      </c>
    </row>
    <row r="85" spans="1:6" x14ac:dyDescent="0.25">
      <c r="A85" s="7">
        <v>42613</v>
      </c>
      <c r="B85" s="68" t="s">
        <v>97</v>
      </c>
      <c r="C85" s="68"/>
      <c r="D85" s="68"/>
      <c r="E85" s="6">
        <v>-27000</v>
      </c>
      <c r="F85" s="66" t="s">
        <v>107</v>
      </c>
    </row>
    <row r="86" spans="1:6" x14ac:dyDescent="0.25">
      <c r="A86" s="7">
        <v>42613</v>
      </c>
      <c r="B86" s="68" t="s">
        <v>98</v>
      </c>
      <c r="C86" s="68"/>
      <c r="D86" s="68"/>
      <c r="E86" s="6">
        <v>-5000</v>
      </c>
      <c r="F86" s="66" t="s">
        <v>110</v>
      </c>
    </row>
    <row r="87" spans="1:6" x14ac:dyDescent="0.25">
      <c r="A87" s="7"/>
      <c r="B87" s="89" t="s">
        <v>78</v>
      </c>
      <c r="C87" s="89"/>
      <c r="D87" s="89"/>
      <c r="E87" s="5">
        <f>SUM(E82:E86)</f>
        <v>404839.75</v>
      </c>
      <c r="F87" s="66"/>
    </row>
    <row r="88" spans="1:6" x14ac:dyDescent="0.25">
      <c r="A88" s="7">
        <v>42614</v>
      </c>
      <c r="B88" s="68" t="s">
        <v>93</v>
      </c>
      <c r="C88" s="68"/>
      <c r="D88" s="68"/>
      <c r="E88" s="11">
        <v>-61</v>
      </c>
      <c r="F88" s="66" t="s">
        <v>109</v>
      </c>
    </row>
    <row r="89" spans="1:6" x14ac:dyDescent="0.25">
      <c r="A89" s="7"/>
      <c r="B89" s="89" t="s">
        <v>79</v>
      </c>
      <c r="C89" s="89"/>
      <c r="D89" s="89"/>
      <c r="E89" s="5">
        <f>SUM(E87:E88)</f>
        <v>404778.75</v>
      </c>
      <c r="F89" s="66"/>
    </row>
    <row r="90" spans="1:6" x14ac:dyDescent="0.25">
      <c r="A90" s="7">
        <v>42646</v>
      </c>
      <c r="B90" s="68" t="s">
        <v>93</v>
      </c>
      <c r="C90" s="68"/>
      <c r="D90" s="68"/>
      <c r="E90" s="11">
        <v>-44</v>
      </c>
      <c r="F90" s="66" t="s">
        <v>108</v>
      </c>
    </row>
    <row r="91" spans="1:6" x14ac:dyDescent="0.25">
      <c r="A91" s="7">
        <v>42671</v>
      </c>
      <c r="B91" s="101" t="s">
        <v>99</v>
      </c>
      <c r="C91" s="101"/>
      <c r="D91" s="101"/>
      <c r="E91" s="6">
        <v>-8550</v>
      </c>
      <c r="F91" s="66" t="s">
        <v>111</v>
      </c>
    </row>
    <row r="92" spans="1:6" x14ac:dyDescent="0.25">
      <c r="B92" s="89" t="s">
        <v>80</v>
      </c>
      <c r="C92" s="89"/>
      <c r="D92" s="89"/>
      <c r="E92" s="5">
        <f>SUM(E89:E91)</f>
        <v>396184.75</v>
      </c>
      <c r="F92" s="66"/>
    </row>
    <row r="93" spans="1:6" x14ac:dyDescent="0.25">
      <c r="A93" s="7">
        <v>42675</v>
      </c>
      <c r="B93" s="68" t="s">
        <v>93</v>
      </c>
      <c r="C93" s="68"/>
      <c r="D93" s="68"/>
      <c r="E93" s="11">
        <v>-52.5</v>
      </c>
      <c r="F93" s="66" t="s">
        <v>112</v>
      </c>
    </row>
    <row r="94" spans="1:6" x14ac:dyDescent="0.25">
      <c r="A94" s="7">
        <v>42676</v>
      </c>
      <c r="B94" s="68" t="s">
        <v>100</v>
      </c>
      <c r="C94" s="68"/>
      <c r="D94" s="68"/>
      <c r="E94" s="11">
        <v>1686.74</v>
      </c>
      <c r="F94" s="66" t="s">
        <v>113</v>
      </c>
    </row>
    <row r="95" spans="1:6" x14ac:dyDescent="0.25">
      <c r="A95" s="7">
        <v>42678</v>
      </c>
      <c r="B95" s="68" t="s">
        <v>100</v>
      </c>
      <c r="C95" s="68"/>
      <c r="D95" s="68"/>
      <c r="E95" s="11">
        <v>1155.3599999999999</v>
      </c>
      <c r="F95" s="66" t="s">
        <v>114</v>
      </c>
    </row>
    <row r="96" spans="1:6" x14ac:dyDescent="0.25">
      <c r="A96" s="7">
        <v>42683</v>
      </c>
      <c r="B96" s="68" t="s">
        <v>100</v>
      </c>
      <c r="C96" s="68"/>
      <c r="D96" s="68"/>
      <c r="E96" s="11">
        <v>3529.48</v>
      </c>
      <c r="F96" s="66" t="s">
        <v>115</v>
      </c>
    </row>
    <row r="97" spans="1:6" x14ac:dyDescent="0.25">
      <c r="A97" s="7">
        <v>42685</v>
      </c>
      <c r="B97" s="68" t="s">
        <v>100</v>
      </c>
      <c r="C97" s="68"/>
      <c r="D97" s="68"/>
      <c r="E97" s="11">
        <v>609.37</v>
      </c>
      <c r="F97" s="66" t="s">
        <v>116</v>
      </c>
    </row>
    <row r="98" spans="1:6" x14ac:dyDescent="0.25">
      <c r="A98" s="7">
        <v>42688</v>
      </c>
      <c r="B98" s="68" t="s">
        <v>101</v>
      </c>
      <c r="C98" s="68"/>
      <c r="D98" s="68"/>
      <c r="E98" s="11">
        <v>59196</v>
      </c>
      <c r="F98" s="66" t="s">
        <v>117</v>
      </c>
    </row>
    <row r="99" spans="1:6" x14ac:dyDescent="0.25">
      <c r="A99" s="7">
        <v>42688</v>
      </c>
      <c r="B99" s="68" t="s">
        <v>102</v>
      </c>
      <c r="C99" s="68"/>
      <c r="D99" s="68"/>
      <c r="E99" s="11">
        <v>81</v>
      </c>
      <c r="F99" s="66" t="s">
        <v>118</v>
      </c>
    </row>
    <row r="100" spans="1:6" x14ac:dyDescent="0.25">
      <c r="A100" s="7">
        <v>42688</v>
      </c>
      <c r="B100" s="68" t="s">
        <v>94</v>
      </c>
      <c r="C100" s="68"/>
      <c r="D100" s="68"/>
      <c r="E100" s="11">
        <v>-969.95</v>
      </c>
      <c r="F100" s="66" t="s">
        <v>119</v>
      </c>
    </row>
    <row r="101" spans="1:6" x14ac:dyDescent="0.25">
      <c r="A101" s="7">
        <v>42688</v>
      </c>
      <c r="B101" s="68" t="s">
        <v>94</v>
      </c>
      <c r="C101" s="68"/>
      <c r="D101" s="68"/>
      <c r="E101" s="11">
        <v>-1803.85</v>
      </c>
      <c r="F101" s="66" t="s">
        <v>120</v>
      </c>
    </row>
    <row r="102" spans="1:6" x14ac:dyDescent="0.25">
      <c r="A102" s="7">
        <v>42688</v>
      </c>
      <c r="B102" s="84" t="s">
        <v>95</v>
      </c>
      <c r="C102" s="84"/>
      <c r="D102" s="84"/>
      <c r="E102" s="6">
        <v>-127.7</v>
      </c>
      <c r="F102" s="66" t="s">
        <v>121</v>
      </c>
    </row>
    <row r="103" spans="1:6" x14ac:dyDescent="0.25">
      <c r="B103" s="89" t="s">
        <v>81</v>
      </c>
      <c r="C103" s="89"/>
      <c r="D103" s="89"/>
      <c r="E103" s="5">
        <f>SUM(E92:E102)</f>
        <v>459488.69999999995</v>
      </c>
      <c r="F103" s="66"/>
    </row>
    <row r="104" spans="1:6" x14ac:dyDescent="0.25">
      <c r="A104" s="7">
        <v>42705</v>
      </c>
      <c r="B104" s="68" t="s">
        <v>93</v>
      </c>
      <c r="C104" s="68"/>
      <c r="D104" s="68"/>
      <c r="E104" s="11">
        <v>-63</v>
      </c>
      <c r="F104" s="66" t="s">
        <v>122</v>
      </c>
    </row>
    <row r="105" spans="1:6" x14ac:dyDescent="0.25">
      <c r="A105" s="7">
        <v>42716</v>
      </c>
      <c r="B105" s="68" t="s">
        <v>104</v>
      </c>
      <c r="C105" s="68"/>
      <c r="D105" s="68"/>
      <c r="E105" s="6">
        <v>13500</v>
      </c>
      <c r="F105" s="66" t="s">
        <v>123</v>
      </c>
    </row>
    <row r="106" spans="1:6" x14ac:dyDescent="0.25">
      <c r="A106" s="7">
        <v>42718</v>
      </c>
      <c r="B106" s="68" t="s">
        <v>105</v>
      </c>
      <c r="C106" s="68"/>
      <c r="D106" s="68"/>
      <c r="E106" s="6">
        <v>-21291.29</v>
      </c>
      <c r="F106" s="66" t="s">
        <v>124</v>
      </c>
    </row>
    <row r="107" spans="1:6" x14ac:dyDescent="0.25">
      <c r="A107" s="7">
        <v>42734</v>
      </c>
      <c r="B107" s="68" t="s">
        <v>92</v>
      </c>
      <c r="C107" s="68"/>
      <c r="D107" s="68"/>
      <c r="E107" s="6">
        <v>311.27</v>
      </c>
      <c r="F107" s="66" t="s">
        <v>125</v>
      </c>
    </row>
    <row r="108" spans="1:6" x14ac:dyDescent="0.25">
      <c r="B108" s="89" t="s">
        <v>82</v>
      </c>
      <c r="C108" s="89"/>
      <c r="D108" s="89"/>
      <c r="E108" s="5">
        <f>SUM(E103:E107)</f>
        <v>451945.68</v>
      </c>
      <c r="F108" s="66"/>
    </row>
    <row r="109" spans="1:6" x14ac:dyDescent="0.25">
      <c r="A109" s="7">
        <v>42737</v>
      </c>
      <c r="B109" s="68" t="s">
        <v>93</v>
      </c>
      <c r="C109" s="68"/>
      <c r="D109" s="68"/>
      <c r="E109" s="64">
        <v>-49.25</v>
      </c>
      <c r="F109" s="66" t="s">
        <v>126</v>
      </c>
    </row>
    <row r="110" spans="1:6" x14ac:dyDescent="0.25">
      <c r="B110" s="89" t="s">
        <v>103</v>
      </c>
      <c r="C110" s="89"/>
      <c r="D110" s="89"/>
      <c r="E110" s="5">
        <f>SUM(E108:E109)</f>
        <v>451896.43</v>
      </c>
      <c r="F110" s="66"/>
    </row>
    <row r="111" spans="1:6" x14ac:dyDescent="0.25">
      <c r="A111" s="7">
        <v>42767</v>
      </c>
      <c r="B111" s="68" t="s">
        <v>93</v>
      </c>
      <c r="C111" s="68"/>
      <c r="D111" s="68"/>
      <c r="E111" s="6">
        <v>-44</v>
      </c>
      <c r="F111" s="66" t="s">
        <v>127</v>
      </c>
    </row>
    <row r="112" spans="1:6" x14ac:dyDescent="0.25">
      <c r="B112" s="89" t="s">
        <v>83</v>
      </c>
      <c r="C112" s="89"/>
      <c r="D112" s="89"/>
      <c r="E112" s="5">
        <f>SUM(E110:E111)</f>
        <v>451852.43</v>
      </c>
      <c r="F112" s="66"/>
    </row>
    <row r="113" spans="1:6" x14ac:dyDescent="0.25">
      <c r="A113" s="7">
        <v>42795</v>
      </c>
      <c r="B113" s="68" t="s">
        <v>93</v>
      </c>
      <c r="C113" s="68"/>
      <c r="D113" s="68"/>
      <c r="E113" s="6">
        <v>-44</v>
      </c>
      <c r="F113" s="66" t="s">
        <v>134</v>
      </c>
    </row>
    <row r="114" spans="1:6" x14ac:dyDescent="0.25">
      <c r="A114" s="7">
        <v>42795</v>
      </c>
      <c r="B114" s="101" t="s">
        <v>135</v>
      </c>
      <c r="C114" s="101"/>
      <c r="D114" s="101"/>
      <c r="E114" s="6">
        <v>-1019.19</v>
      </c>
      <c r="F114" s="66" t="s">
        <v>136</v>
      </c>
    </row>
    <row r="115" spans="1:6" x14ac:dyDescent="0.25">
      <c r="A115" s="7">
        <v>42804</v>
      </c>
      <c r="B115" s="101" t="s">
        <v>138</v>
      </c>
      <c r="C115" s="101"/>
      <c r="D115" s="101"/>
      <c r="E115" s="6">
        <v>-12000</v>
      </c>
      <c r="F115" s="66" t="s">
        <v>139</v>
      </c>
    </row>
    <row r="116" spans="1:6" x14ac:dyDescent="0.25">
      <c r="B116" s="67" t="s">
        <v>84</v>
      </c>
      <c r="C116" s="67"/>
      <c r="D116" s="67"/>
      <c r="E116" s="5">
        <f>SUM(E112:E115)</f>
        <v>438789.24</v>
      </c>
      <c r="F116" s="66"/>
    </row>
    <row r="117" spans="1:6" x14ac:dyDescent="0.25">
      <c r="A117" s="7">
        <v>42830</v>
      </c>
      <c r="B117" s="68" t="s">
        <v>93</v>
      </c>
      <c r="C117" s="68"/>
      <c r="D117" s="68"/>
      <c r="E117" s="6">
        <v>-61</v>
      </c>
      <c r="F117" s="66" t="s">
        <v>137</v>
      </c>
    </row>
    <row r="118" spans="1:6" x14ac:dyDescent="0.25">
      <c r="A118" s="7">
        <v>42836</v>
      </c>
      <c r="B118" s="91" t="s">
        <v>140</v>
      </c>
      <c r="C118" s="91"/>
      <c r="D118" s="91"/>
      <c r="E118" s="6">
        <v>-5000</v>
      </c>
      <c r="F118" s="66" t="s">
        <v>142</v>
      </c>
    </row>
    <row r="119" spans="1:6" x14ac:dyDescent="0.25">
      <c r="B119" s="67" t="s">
        <v>85</v>
      </c>
      <c r="C119" s="67"/>
      <c r="D119" s="67"/>
      <c r="E119" s="5">
        <f>SUM(E116:E118)</f>
        <v>433728.24</v>
      </c>
      <c r="F119" s="66"/>
    </row>
    <row r="120" spans="1:6" x14ac:dyDescent="0.25">
      <c r="A120" s="7">
        <v>42857</v>
      </c>
      <c r="B120" s="68" t="s">
        <v>93</v>
      </c>
      <c r="C120" s="68"/>
      <c r="D120" s="68"/>
      <c r="E120" s="6">
        <v>-52.5</v>
      </c>
      <c r="F120" s="66" t="s">
        <v>141</v>
      </c>
    </row>
    <row r="121" spans="1:6" x14ac:dyDescent="0.25">
      <c r="A121" s="7">
        <v>42860</v>
      </c>
      <c r="B121" s="66" t="s">
        <v>143</v>
      </c>
      <c r="C121" s="66"/>
      <c r="D121" s="66"/>
      <c r="E121" s="6">
        <v>45000</v>
      </c>
      <c r="F121" s="66" t="s">
        <v>144</v>
      </c>
    </row>
    <row r="122" spans="1:6" x14ac:dyDescent="0.25">
      <c r="B122" s="67" t="s">
        <v>86</v>
      </c>
      <c r="C122" s="67"/>
      <c r="D122" s="67"/>
      <c r="E122" s="5">
        <f>SUM(E119:E121)</f>
        <v>478675.74</v>
      </c>
      <c r="F122" s="66"/>
    </row>
    <row r="123" spans="1:6" x14ac:dyDescent="0.25">
      <c r="A123" s="7">
        <v>42887</v>
      </c>
      <c r="B123" s="68" t="s">
        <v>93</v>
      </c>
      <c r="C123" s="68"/>
      <c r="D123" s="68"/>
      <c r="E123" s="6">
        <v>-44</v>
      </c>
      <c r="F123" s="66" t="s">
        <v>147</v>
      </c>
    </row>
    <row r="124" spans="1:6" x14ac:dyDescent="0.25">
      <c r="B124" s="67" t="s">
        <v>87</v>
      </c>
      <c r="C124" s="67"/>
      <c r="D124" s="67"/>
      <c r="E124" s="5">
        <f>SUM(E122:E123)</f>
        <v>478631.74</v>
      </c>
      <c r="F124" s="66"/>
    </row>
    <row r="125" spans="1:6" s="32" customFormat="1" x14ac:dyDescent="0.25">
      <c r="A125" s="7">
        <v>42919</v>
      </c>
      <c r="B125" s="68" t="s">
        <v>93</v>
      </c>
      <c r="C125" s="68"/>
      <c r="D125" s="68"/>
      <c r="E125" s="6">
        <v>-44</v>
      </c>
      <c r="F125" s="68" t="s">
        <v>148</v>
      </c>
    </row>
    <row r="126" spans="1:6" s="32" customFormat="1" ht="15.75" thickBot="1" x14ac:dyDescent="0.3">
      <c r="A126" s="7">
        <v>42933</v>
      </c>
      <c r="B126" s="68" t="s">
        <v>149</v>
      </c>
      <c r="C126" s="68"/>
      <c r="D126" s="68"/>
      <c r="E126" s="6">
        <v>548.79</v>
      </c>
      <c r="F126" s="68" t="s">
        <v>150</v>
      </c>
    </row>
    <row r="127" spans="1:6" ht="15.75" thickBot="1" x14ac:dyDescent="0.3">
      <c r="A127" s="41"/>
      <c r="B127" s="69" t="s">
        <v>88</v>
      </c>
      <c r="C127" s="69"/>
      <c r="D127" s="69"/>
      <c r="E127" s="42">
        <f>SUM(E124:E126)</f>
        <v>479136.52999999997</v>
      </c>
      <c r="F127" s="70"/>
    </row>
  </sheetData>
  <pageMargins left="0.70866141732283472" right="0.70866141732283472" top="0.74803149606299213" bottom="0.7480314960629921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Budsjett</vt:lpstr>
      <vt:lpstr>Noter</vt:lpstr>
      <vt:lpstr>Regnskap</vt:lpstr>
      <vt:lpstr>Bilag</vt:lpstr>
      <vt:lpstr>Regnskap!Utskriftsområde</vt:lpstr>
    </vt:vector>
  </TitlesOfParts>
  <Company>NorgesGruppen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Stian@mymaze.com</dc:creator>
  <cp:lastModifiedBy>Torlid Huse</cp:lastModifiedBy>
  <cp:lastPrinted>2017-08-09T06:17:18Z</cp:lastPrinted>
  <dcterms:created xsi:type="dcterms:W3CDTF">2014-06-03T14:44:30Z</dcterms:created>
  <dcterms:modified xsi:type="dcterms:W3CDTF">2017-09-12T15:23:14Z</dcterms:modified>
</cp:coreProperties>
</file>